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1925" tabRatio="911" firstSheet="9" activeTab="7"/>
  </bookViews>
  <sheets>
    <sheet name="01收入调整" sheetId="69" r:id="rId1"/>
    <sheet name="02支出调整（功能分类 ）" sheetId="78" r:id="rId2"/>
    <sheet name="02-1功能项级分类（开）" sheetId="79" state="hidden" r:id="rId3"/>
    <sheet name="02-2功能项级分类（铁）" sheetId="44" state="hidden" r:id="rId4"/>
    <sheet name="03收支平衡" sheetId="70" r:id="rId5"/>
    <sheet name="03-2结算转移支付（截至9月末）" sheetId="68" r:id="rId6"/>
    <sheet name="03-1固定转移支付" sheetId="71" r:id="rId7"/>
    <sheet name="04支出变动（功能分类)" sheetId="80" r:id="rId8"/>
    <sheet name="05支出变动（项目明细）" sheetId="72" r:id="rId9"/>
    <sheet name="06政府性基金" sheetId="76" r:id="rId10"/>
    <sheet name="07国有资本经营" sheetId="77" r:id="rId11"/>
    <sheet name="08债务限额及余额" sheetId="75" r:id="rId12"/>
    <sheet name="09债券资金明细" sheetId="73" r:id="rId13"/>
    <sheet name="10新增债券项目安排" sheetId="74" r:id="rId14"/>
    <sheet name="分单位-开" sheetId="66" state="hidden" r:id="rId15"/>
    <sheet name="分单位-铁" sheetId="67" state="hidden" r:id="rId16"/>
    <sheet name="基本支出总表（开）" sheetId="57" r:id="rId17"/>
    <sheet name="基本支出总表（铁）" sheetId="58" r:id="rId18"/>
    <sheet name="项目支出总表（开）" sheetId="34" r:id="rId19"/>
    <sheet name="项目支出总表（铁）" sheetId="39" r:id="rId20"/>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s>
  <definedNames>
    <definedName name="_xlnm._FilterDatabase" localSheetId="1" hidden="1">'02支出调整（功能分类 ）'!$A$1:$G$346</definedName>
    <definedName name="_xlnm._FilterDatabase" localSheetId="2" hidden="1">'02-1功能项级分类（开）'!$A$1:$U$329</definedName>
    <definedName name="_xlnm._FilterDatabase" localSheetId="3" hidden="1">'02-2功能项级分类（铁）'!$A$1:$U$83</definedName>
    <definedName name="_xlnm._FilterDatabase" localSheetId="5" hidden="1">'03-2结算转移支付（截至9月末）'!$A$1:$F$89</definedName>
    <definedName name="_xlnm._FilterDatabase" localSheetId="8" hidden="1">'05支出变动（项目明细）'!$A$1:$H$184</definedName>
    <definedName name="_xlnm._FilterDatabase" localSheetId="14" hidden="1">'分单位-开'!$A$1:$L$300</definedName>
    <definedName name="_xlnm._FilterDatabase" localSheetId="16" hidden="1">'基本支出总表（开）'!$A$1:$N$635</definedName>
    <definedName name="_xlnm._FilterDatabase" localSheetId="17" hidden="1">'基本支出总表（铁）'!$A$1:$XEO$88</definedName>
    <definedName name="_xlnm._FilterDatabase" localSheetId="18" hidden="1">'项目支出总表（开）'!$A$1:$X$933</definedName>
    <definedName name="_xlnm._FilterDatabase" localSheetId="19" hidden="1">'项目支出总表（铁）'!$A$1:$V$304</definedName>
    <definedName name="_xlnm.Print_Area" localSheetId="18">'项目支出总表（开）'!$A:$W</definedName>
    <definedName name="_xlnm.Print_Titles" localSheetId="18">'项目支出总表（开）'!$1:$4</definedName>
    <definedName name="_xlnm.Print_Titles" localSheetId="19">'项目支出总表（铁）'!$1:$4</definedName>
    <definedName name="_xlnm.Print_Area" localSheetId="3">'02-2功能项级分类（铁）'!$A:$L</definedName>
    <definedName name="_xlnm.Print_Titles" localSheetId="3">'02-2功能项级分类（铁）'!$2:$5</definedName>
    <definedName name="_xlnm.Print_Area" localSheetId="16">'基本支出总表（开）'!$A:$N</definedName>
    <definedName name="_xlnm.Print_Titles" localSheetId="16">'基本支出总表（开）'!$1:$5</definedName>
    <definedName name="_xlnm.Print_Area" localSheetId="17">'基本支出总表（铁）'!$A:$N</definedName>
    <definedName name="_xlnm.Print_Titles" localSheetId="17">'基本支出总表（铁）'!$1:$5</definedName>
    <definedName name="_xlnm.Print_Titles" localSheetId="15">'分单位-铁'!$1:$5</definedName>
    <definedName name="_xlnm.Print_Titles" localSheetId="14">'分单位-开'!$1:$5</definedName>
    <definedName name="_xlnm.Print_Area" localSheetId="19">'项目支出总表（铁）'!$A:$V</definedName>
    <definedName name="_xlnm.Print_Titles" localSheetId="5">'03-2结算转移支付（截至9月末）'!$1:$1</definedName>
    <definedName name="_xlnm.Print_Titles" localSheetId="0">'01收入调整'!$1:$4</definedName>
    <definedName name="_xlnm.Print_Area" localSheetId="0">'01收入调整'!$A:$J</definedName>
    <definedName name="_xlnm.Print_Area" localSheetId="4">'03收支平衡'!$A$1:$N$29</definedName>
    <definedName name="_Order1" hidden="1">255</definedName>
    <definedName name="_Order2" hidden="1">255</definedName>
    <definedName name="FRC">[3]Main!$C$9</definedName>
    <definedName name="gxxe2003">'[4]P1012001'!$A$6:$E$117</definedName>
    <definedName name="hostfee">'[5]Financ. Overview'!$H$12</definedName>
    <definedName name="HWSheet">1</definedName>
    <definedName name="pr_toolbox">[5]Toolbox!$A$3:$I$80</definedName>
    <definedName name="s_c_list">[6]Toolbox!$A$7:$H$969</definedName>
    <definedName name="sdlfee">'[5]Financ. Overview'!$H$13</definedName>
    <definedName name="ss7fee">'[5]Financ. Overview'!$H$18</definedName>
    <definedName name="subsfee">'[5]Financ. Overview'!$H$14</definedName>
    <definedName name="toolbox">[7]Toolbox!$C$5:$T$1578</definedName>
    <definedName name="V5.1Fee">'[5]Financ. Overview'!$H$15</definedName>
    <definedName name="_s1" localSheetId="6">#REF!</definedName>
    <definedName name="Bust" localSheetId="6">#REF!</definedName>
    <definedName name="Continue" localSheetId="6">#REF!</definedName>
    <definedName name="Documents_array" localSheetId="6">#REF!</definedName>
    <definedName name="Hello" localSheetId="6">#REF!</definedName>
    <definedName name="MakeIt" localSheetId="6">#REF!</definedName>
    <definedName name="Morning" localSheetId="6">#REF!</definedName>
    <definedName name="Poppy" localSheetId="6">#REF!</definedName>
    <definedName name="_xlnm.Print_Area" localSheetId="6">'03-1固定转移支付'!$A:$F</definedName>
    <definedName name="_xlnm.Print_Titles" localSheetId="6">'03-1固定转移支付'!$1:$3</definedName>
    <definedName name="solar_ratio" localSheetId="6">'[8]POWER ASSUMPTIONS'!$H$7</definedName>
    <definedName name="单位名称" localSheetId="6">[9]单位信息录入表!$E$2:$E$65536</definedName>
    <definedName name="汇率" localSheetId="6">#REF!</definedName>
    <definedName name="日期" localSheetId="6">[10]基础编码!$I$2:$I$4</definedName>
    <definedName name="生产列1" localSheetId="6">#REF!</definedName>
    <definedName name="生产列11" localSheetId="6">#REF!</definedName>
    <definedName name="生产列15" localSheetId="6">#REF!</definedName>
    <definedName name="生产列16" localSheetId="6">#REF!</definedName>
    <definedName name="生产列17" localSheetId="6">#REF!</definedName>
    <definedName name="生产列19" localSheetId="6">#REF!</definedName>
    <definedName name="生产列2" localSheetId="6">#REF!</definedName>
    <definedName name="生产列20" localSheetId="6">#REF!</definedName>
    <definedName name="生产列3" localSheetId="6">#REF!</definedName>
    <definedName name="生产列4" localSheetId="6">#REF!</definedName>
    <definedName name="生产列5" localSheetId="6">#REF!</definedName>
    <definedName name="生产列6" localSheetId="6">#REF!</definedName>
    <definedName name="生产列7" localSheetId="6">#REF!</definedName>
    <definedName name="生产列8" localSheetId="6">#REF!</definedName>
    <definedName name="生产列9" localSheetId="6">#REF!</definedName>
    <definedName name="生产期" localSheetId="6">#REF!</definedName>
    <definedName name="生产期1" localSheetId="6">#REF!</definedName>
    <definedName name="生产期11" localSheetId="6">#REF!</definedName>
    <definedName name="生产期15" localSheetId="6">#REF!</definedName>
    <definedName name="生产期16" localSheetId="6">#REF!</definedName>
    <definedName name="生产期17" localSheetId="6">#REF!</definedName>
    <definedName name="生产期19" localSheetId="6">#REF!</definedName>
    <definedName name="生产期2" localSheetId="6">#REF!</definedName>
    <definedName name="生产期20" localSheetId="6">#REF!</definedName>
    <definedName name="生产期3" localSheetId="6">#REF!</definedName>
    <definedName name="生产期4" localSheetId="6">#REF!</definedName>
    <definedName name="生产期5" localSheetId="6">#REF!</definedName>
    <definedName name="生产期6" localSheetId="6">#REF!</definedName>
    <definedName name="生产期7" localSheetId="6">#REF!</definedName>
    <definedName name="生产期8" localSheetId="6">#REF!</definedName>
    <definedName name="生产期9" localSheetId="6">#REF!</definedName>
    <definedName name="性别" localSheetId="6">[11]基础编码!$H$2:$H$3</definedName>
    <definedName name="在职教职工类型" localSheetId="6">[12]基础编码!$J$2:$J$4</definedName>
    <definedName name="_xlnm.Print_Titles" localSheetId="8">'05支出变动（项目明细）'!$1:$4</definedName>
    <definedName name="_xlnm.Print_Area" localSheetId="1">'02支出调整（功能分类 ）'!$A:$G</definedName>
    <definedName name="_xlnm.Print_Titles" localSheetId="1">'02支出调整（功能分类 ）'!$2:$5</definedName>
    <definedName name="_xlnm.Print_Area" localSheetId="2">'02-1功能项级分类（开）'!$A:$L</definedName>
    <definedName name="_xlnm.Print_Titles" localSheetId="2">'02-1功能项级分类（开）'!$2:$5</definedName>
    <definedName name="_xlnm.Print_Area" localSheetId="7">'04支出变动（功能分类)'!$A$1:$M$29</definedName>
    <definedName name="_xlnm.Print_Area" localSheetId="8">'05支出变动（项目明细）'!$A:$H</definedName>
    <definedName name="_xlnm.Print_Titles" localSheetId="9">'06政府性基金'!$1:$5</definedName>
    <definedName name="_xlnm.Print_Area" localSheetId="5">'03-2结算转移支付（截至9月末）'!$A:$E</definedName>
    <definedName name="_xlnm.Print_Area" localSheetId="13">'10新增债券项目安排'!$A$1:$H$26</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l</author>
  </authors>
  <commentList>
    <comment ref="M17" authorId="0">
      <text>
        <r>
          <rPr>
            <b/>
            <sz val="9"/>
            <rFont val="宋体"/>
            <charset val="134"/>
          </rPr>
          <t>l:</t>
        </r>
        <r>
          <rPr>
            <sz val="9"/>
            <rFont val="宋体"/>
            <charset val="134"/>
          </rPr>
          <t xml:space="preserve">
团城山、花湖补助政策退出，应调减上解基数5954万元，具体数额待市财政下发（初步与柯泽辉说好先列入预算调整）</t>
        </r>
      </text>
    </comment>
    <comment ref="F24" authorId="0">
      <text>
        <r>
          <rPr>
            <b/>
            <sz val="9"/>
            <rFont val="宋体"/>
            <charset val="134"/>
          </rPr>
          <t>l:建设局562万、农业农村局108万从基金支出调整到公共预算列支。</t>
        </r>
      </text>
    </comment>
    <comment ref="F25" authorId="0">
      <text>
        <r>
          <rPr>
            <b/>
            <sz val="9"/>
            <rFont val="宋体"/>
            <charset val="134"/>
          </rPr>
          <t>l:</t>
        </r>
        <r>
          <rPr>
            <sz val="9"/>
            <rFont val="宋体"/>
            <charset val="134"/>
          </rPr>
          <t xml:space="preserve">
阳新划转村级运转资金400万，大冶221万暂未到账，农业专项收回存量20万+31万（太子）、民政历年结余资金收回53万（太子）、11万（汪仁）</t>
        </r>
      </text>
    </comment>
  </commentList>
</comments>
</file>

<file path=xl/comments2.xml><?xml version="1.0" encoding="utf-8"?>
<comments xmlns="http://schemas.openxmlformats.org/spreadsheetml/2006/main">
  <authors>
    <author>小可</author>
    <author>作者</author>
    <author>Administrator</author>
  </authors>
  <commentList>
    <comment ref="A14" authorId="0">
      <text>
        <r>
          <rPr>
            <b/>
            <sz val="9"/>
            <rFont val="宋体"/>
            <charset val="134"/>
          </rPr>
          <t>小可:</t>
        </r>
        <r>
          <rPr>
            <sz val="9"/>
            <rFont val="宋体"/>
            <charset val="134"/>
          </rPr>
          <t xml:space="preserve">
按人数核算划分
</t>
        </r>
      </text>
    </comment>
    <comment ref="D16" authorId="1">
      <text>
        <r>
          <rPr>
            <sz val="9"/>
            <rFont val="宋体"/>
            <charset val="134"/>
          </rPr>
          <t>作者:
未见文件</t>
        </r>
      </text>
    </comment>
    <comment ref="A17" authorId="0">
      <text>
        <r>
          <rPr>
            <b/>
            <sz val="9"/>
            <rFont val="宋体"/>
            <charset val="134"/>
          </rPr>
          <t>小可:</t>
        </r>
        <r>
          <rPr>
            <sz val="9"/>
            <rFont val="宋体"/>
            <charset val="134"/>
          </rPr>
          <t xml:space="preserve">
农村公益事业以钱养事转移支付补助。农村科</t>
        </r>
      </text>
    </comment>
    <comment ref="A19" authorId="0">
      <text>
        <r>
          <rPr>
            <b/>
            <sz val="9"/>
            <rFont val="宋体"/>
            <charset val="134"/>
          </rPr>
          <t>小可:</t>
        </r>
        <r>
          <rPr>
            <sz val="9"/>
            <rFont val="宋体"/>
            <charset val="134"/>
          </rPr>
          <t xml:space="preserve">
房产税按比例分成，土地税按归属地划分。国库
</t>
        </r>
      </text>
    </comment>
    <comment ref="A20" authorId="0">
      <text>
        <r>
          <rPr>
            <b/>
            <sz val="9"/>
            <rFont val="宋体"/>
            <charset val="134"/>
          </rPr>
          <t>小可:</t>
        </r>
        <r>
          <rPr>
            <sz val="9"/>
            <rFont val="宋体"/>
            <charset val="134"/>
          </rPr>
          <t xml:space="preserve">
房产税按比例分成，土地税按归属地划分。国库
</t>
        </r>
      </text>
    </comment>
    <comment ref="A21" authorId="0">
      <text>
        <r>
          <rPr>
            <b/>
            <sz val="9"/>
            <rFont val="宋体"/>
            <charset val="134"/>
          </rPr>
          <t>小可:</t>
        </r>
        <r>
          <rPr>
            <sz val="9"/>
            <rFont val="宋体"/>
            <charset val="134"/>
          </rPr>
          <t xml:space="preserve">
房产税按比例分成，土地税按归属地划分。国库
</t>
        </r>
      </text>
    </comment>
    <comment ref="D35" authorId="2">
      <text>
        <r>
          <rPr>
            <sz val="9"/>
            <rFont val="宋体"/>
            <charset val="134"/>
          </rPr>
          <t>Administrator:
花湖农场移交到黄石港，原40万元调30万元到黄石港</t>
        </r>
      </text>
    </comment>
    <comment ref="A41" authorId="0">
      <text>
        <r>
          <rPr>
            <b/>
            <sz val="9"/>
            <rFont val="宋体"/>
            <charset val="134"/>
          </rPr>
          <t>小可:</t>
        </r>
        <r>
          <rPr>
            <sz val="9"/>
            <rFont val="宋体"/>
            <charset val="134"/>
          </rPr>
          <t xml:space="preserve">
含大冶59万，阳新38万，已通过市洲对县市的结算补助基数给予
</t>
        </r>
      </text>
    </comment>
    <comment ref="C53" authorId="1">
      <text>
        <r>
          <rPr>
            <sz val="9"/>
            <rFont val="宋体"/>
            <charset val="134"/>
          </rPr>
          <t>作者:
铁路子弟学校57万</t>
        </r>
      </text>
    </comment>
    <comment ref="D53" authorId="1">
      <text>
        <r>
          <rPr>
            <sz val="9"/>
            <rFont val="宋体"/>
            <charset val="134"/>
          </rPr>
          <t>作者:
原下放学校113万</t>
        </r>
      </text>
    </comment>
    <comment ref="A59" authorId="0">
      <text>
        <r>
          <rPr>
            <b/>
            <sz val="9"/>
            <rFont val="宋体"/>
            <charset val="134"/>
          </rPr>
          <t>小可:</t>
        </r>
        <r>
          <rPr>
            <sz val="9"/>
            <rFont val="宋体"/>
            <charset val="134"/>
          </rPr>
          <t xml:space="preserve">
三年，待2020年结算核定
</t>
        </r>
      </text>
    </comment>
    <comment ref="A70" authorId="0">
      <text>
        <r>
          <rPr>
            <b/>
            <sz val="9"/>
            <rFont val="宋体"/>
            <charset val="134"/>
          </rPr>
          <t>小可:</t>
        </r>
        <r>
          <rPr>
            <sz val="9"/>
            <rFont val="宋体"/>
            <charset val="134"/>
          </rPr>
          <t xml:space="preserve">
基数
</t>
        </r>
      </text>
    </comment>
    <comment ref="A71" authorId="0">
      <text>
        <r>
          <rPr>
            <b/>
            <sz val="9"/>
            <rFont val="宋体"/>
            <charset val="134"/>
          </rPr>
          <t>小可:</t>
        </r>
        <r>
          <rPr>
            <sz val="9"/>
            <rFont val="宋体"/>
            <charset val="134"/>
          </rPr>
          <t xml:space="preserve">
六四分成，2020年税收预估下降
</t>
        </r>
      </text>
    </comment>
    <comment ref="A72" authorId="0">
      <text>
        <r>
          <rPr>
            <b/>
            <sz val="9"/>
            <rFont val="宋体"/>
            <charset val="134"/>
          </rPr>
          <t>小可:</t>
        </r>
        <r>
          <rPr>
            <sz val="9"/>
            <rFont val="宋体"/>
            <charset val="134"/>
          </rPr>
          <t xml:space="preserve">
黄、西五五分，下、铁四六分
</t>
        </r>
      </text>
    </comment>
    <comment ref="A73" authorId="0">
      <text>
        <r>
          <rPr>
            <b/>
            <sz val="9"/>
            <rFont val="宋体"/>
            <charset val="134"/>
          </rPr>
          <t>小可:</t>
        </r>
        <r>
          <rPr>
            <sz val="9"/>
            <rFont val="宋体"/>
            <charset val="134"/>
          </rPr>
          <t xml:space="preserve">
五五分成
</t>
        </r>
      </text>
    </comment>
    <comment ref="A74" authorId="0">
      <text>
        <r>
          <rPr>
            <b/>
            <sz val="9"/>
            <rFont val="宋体"/>
            <charset val="134"/>
          </rPr>
          <t>小可:</t>
        </r>
        <r>
          <rPr>
            <sz val="9"/>
            <rFont val="宋体"/>
            <charset val="134"/>
          </rPr>
          <t xml:space="preserve">
四税：增值税、消费税、企业和个人所得税上解。上解数=上年上解数*税收增幅。
</t>
        </r>
      </text>
    </comment>
  </commentList>
</comments>
</file>

<file path=xl/comments3.xml><?xml version="1.0" encoding="utf-8"?>
<comments xmlns="http://schemas.openxmlformats.org/spreadsheetml/2006/main">
  <authors>
    <author>Administrator</author>
  </authors>
  <commentList>
    <comment ref="D27" authorId="0">
      <text>
        <r>
          <rPr>
            <b/>
            <sz val="9"/>
            <rFont val="宋体"/>
            <charset val="134"/>
          </rPr>
          <t>Administrator:</t>
        </r>
        <r>
          <rPr>
            <sz val="9"/>
            <rFont val="宋体"/>
            <charset val="134"/>
          </rPr>
          <t xml:space="preserve">
利川指标变现收入</t>
        </r>
      </text>
    </comment>
    <comment ref="D28" authorId="0">
      <text>
        <r>
          <rPr>
            <b/>
            <sz val="9"/>
            <rFont val="宋体"/>
            <charset val="134"/>
          </rPr>
          <t>Administrator:</t>
        </r>
        <r>
          <rPr>
            <sz val="9"/>
            <rFont val="宋体"/>
            <charset val="134"/>
          </rPr>
          <t xml:space="preserve">
已缴库583万，未缴库1173万</t>
        </r>
      </text>
    </comment>
    <comment ref="H47" authorId="0">
      <text>
        <r>
          <rPr>
            <b/>
            <sz val="9"/>
            <rFont val="宋体"/>
            <charset val="134"/>
          </rPr>
          <t>Administrator:</t>
        </r>
        <r>
          <rPr>
            <sz val="9"/>
            <rFont val="宋体"/>
            <charset val="134"/>
          </rPr>
          <t xml:space="preserve">
22年预算总账专项债券利息3363万元线上列支，线下又做调出，存在重复，23年预算是冲减支出还是做其他处理待预算定</t>
        </r>
      </text>
    </comment>
    <comment ref="B52" authorId="0">
      <text>
        <r>
          <rPr>
            <b/>
            <sz val="9"/>
            <rFont val="宋体"/>
            <charset val="134"/>
          </rPr>
          <t>Administrator:</t>
        </r>
        <r>
          <rPr>
            <sz val="9"/>
            <rFont val="宋体"/>
            <charset val="134"/>
          </rPr>
          <t xml:space="preserve">
包含铁山区3万、开发区275万</t>
        </r>
      </text>
    </comment>
    <comment ref="B54" authorId="0">
      <text>
        <r>
          <rPr>
            <b/>
            <sz val="9"/>
            <rFont val="宋体"/>
            <charset val="134"/>
          </rPr>
          <t>Administrator:</t>
        </r>
        <r>
          <rPr>
            <sz val="9"/>
            <rFont val="宋体"/>
            <charset val="134"/>
          </rPr>
          <t xml:space="preserve">
包含基金结余5247万、彩票结余505万（开发区200万、铁山区305万）</t>
        </r>
      </text>
    </comment>
    <comment ref="D54" authorId="0">
      <text>
        <r>
          <rPr>
            <b/>
            <sz val="9"/>
            <rFont val="宋体"/>
            <charset val="134"/>
          </rPr>
          <t>Administrator:</t>
        </r>
        <r>
          <rPr>
            <sz val="9"/>
            <rFont val="宋体"/>
            <charset val="134"/>
          </rPr>
          <t xml:space="preserve">
磁湖公司交22年利息3322万元李敬22年决算时计入其他调入，实际为空调故结余也是空结余，23年交的利息视同为22年结余数。加上3363万元为22年李敬总账多记支出本年予以调整</t>
        </r>
      </text>
    </comment>
    <comment ref="D55" authorId="0">
      <text>
        <r>
          <rPr>
            <b/>
            <sz val="9"/>
            <rFont val="宋体"/>
            <charset val="134"/>
          </rPr>
          <t>Administrator:</t>
        </r>
        <r>
          <rPr>
            <sz val="9"/>
            <rFont val="宋体"/>
            <charset val="134"/>
          </rPr>
          <t xml:space="preserve">
新增债券3000万，再融资债券21055万，特殊再融资债券147191万元 </t>
        </r>
      </text>
    </comment>
    <comment ref="F55" authorId="0">
      <text>
        <r>
          <rPr>
            <b/>
            <sz val="9"/>
            <rFont val="宋体"/>
            <charset val="134"/>
          </rPr>
          <t>Administrator:</t>
        </r>
        <r>
          <rPr>
            <sz val="9"/>
            <rFont val="宋体"/>
            <charset val="134"/>
          </rPr>
          <t xml:space="preserve">
实际调入公共预算资金为10761万元，基金10456万元，铁山彩票结余305万元。专项债券利息3363万元李账做了线上支出同时又做了调出资金，另外李敬资金上455.5万元原是政府性基金预算对教育的支出，因公共预算教育支出未达到考核数据后直接把455.5万调库作为调出资金，李敬22年总快账面只做了支出调库，资金账未调，导致基金账面结余数与实际结余数不一致。</t>
        </r>
      </text>
    </comment>
    <comment ref="H55" authorId="0">
      <text>
        <r>
          <rPr>
            <b/>
            <sz val="9"/>
            <rFont val="宋体"/>
            <charset val="134"/>
          </rPr>
          <t>Administrator:</t>
        </r>
        <r>
          <rPr>
            <sz val="9"/>
            <rFont val="宋体"/>
            <charset val="134"/>
          </rPr>
          <t xml:space="preserve">
23年应调入公共预算1亿元，因22年李敬专项债券多计入调出3363万元，故23年少调出。另外农业农村退垸还湖项目支出在公共预算列支，资金在基金，作为调出。</t>
        </r>
      </text>
    </comment>
    <comment ref="B56" authorId="0">
      <text>
        <r>
          <rPr>
            <b/>
            <sz val="9"/>
            <rFont val="宋体"/>
            <charset val="134"/>
          </rPr>
          <t>Administrator:</t>
        </r>
        <r>
          <rPr>
            <sz val="9"/>
            <rFont val="宋体"/>
            <charset val="134"/>
          </rPr>
          <t xml:space="preserve">
主要为其中自平衡专项债券收入（空调）</t>
        </r>
      </text>
    </comment>
    <comment ref="D56" authorId="0">
      <text>
        <r>
          <rPr>
            <sz val="9"/>
            <rFont val="宋体"/>
            <charset val="134"/>
          </rPr>
          <t>、中茵6项计提6000万、收回其他资金4727万、收回公司原已支付项目款11亿元（特殊债）、收公司利息3322万暂计入上年结余数中</t>
        </r>
      </text>
    </comment>
    <comment ref="F56" authorId="0">
      <text>
        <r>
          <rPr>
            <b/>
            <sz val="9"/>
            <rFont val="宋体"/>
            <charset val="134"/>
          </rPr>
          <t>Administrator:</t>
        </r>
        <r>
          <rPr>
            <sz val="9"/>
            <rFont val="宋体"/>
            <charset val="134"/>
          </rPr>
          <t xml:space="preserve">
包含铁山彩票3万，开发区31万</t>
        </r>
      </text>
    </comment>
    <comment ref="H56" authorId="0">
      <text>
        <r>
          <rPr>
            <b/>
            <sz val="9"/>
            <rFont val="宋体"/>
            <charset val="134"/>
          </rPr>
          <t>Administrator:</t>
        </r>
        <r>
          <rPr>
            <sz val="9"/>
            <rFont val="宋体"/>
            <charset val="134"/>
          </rPr>
          <t xml:space="preserve">
彩票结余34万</t>
        </r>
      </text>
    </comment>
  </commentList>
</comments>
</file>

<file path=xl/comments4.xml><?xml version="1.0" encoding="utf-8"?>
<comments xmlns="http://schemas.openxmlformats.org/spreadsheetml/2006/main">
  <authors>
    <author>l</author>
  </authors>
  <commentList>
    <comment ref="L12" authorId="0">
      <text>
        <r>
          <rPr>
            <b/>
            <sz val="9"/>
            <rFont val="宋体"/>
            <charset val="134"/>
          </rPr>
          <t>l:</t>
        </r>
        <r>
          <rPr>
            <sz val="9"/>
            <rFont val="宋体"/>
            <charset val="134"/>
          </rPr>
          <t xml:space="preserve">
密件;加密系统密码设备换装，一次性支出。</t>
        </r>
      </text>
    </comment>
    <comment ref="C25" authorId="0">
      <text>
        <r>
          <rPr>
            <b/>
            <sz val="9"/>
            <rFont val="宋体"/>
            <charset val="134"/>
          </rPr>
          <t>l:</t>
        </r>
        <r>
          <rPr>
            <sz val="9"/>
            <rFont val="宋体"/>
            <charset val="134"/>
          </rPr>
          <t xml:space="preserve">
由2290201改为2130599</t>
        </r>
      </text>
    </comment>
    <comment ref="C26" authorId="0">
      <text>
        <r>
          <rPr>
            <b/>
            <sz val="9"/>
            <rFont val="宋体"/>
            <charset val="134"/>
          </rPr>
          <t>l:</t>
        </r>
        <r>
          <rPr>
            <sz val="9"/>
            <rFont val="宋体"/>
            <charset val="134"/>
          </rPr>
          <t xml:space="preserve">
由2290201改为2130599</t>
        </r>
      </text>
    </comment>
    <comment ref="U55" authorId="0">
      <text>
        <r>
          <rPr>
            <b/>
            <sz val="9"/>
            <rFont val="宋体"/>
            <charset val="134"/>
          </rPr>
          <t>l:</t>
        </r>
        <r>
          <rPr>
            <sz val="9"/>
            <rFont val="宋体"/>
            <charset val="134"/>
          </rPr>
          <t xml:space="preserve">
砷中毒</t>
        </r>
      </text>
    </comment>
    <comment ref="L108" authorId="0">
      <text>
        <r>
          <rPr>
            <b/>
            <sz val="9"/>
            <rFont val="宋体"/>
            <charset val="134"/>
          </rPr>
          <t>l:</t>
        </r>
        <r>
          <rPr>
            <sz val="9"/>
            <rFont val="宋体"/>
            <charset val="134"/>
          </rPr>
          <t xml:space="preserve">
资金审批单要修改。</t>
        </r>
      </text>
    </comment>
    <comment ref="C172" authorId="0">
      <text>
        <r>
          <rPr>
            <b/>
            <sz val="9"/>
            <rFont val="宋体"/>
            <charset val="134"/>
          </rPr>
          <t>l:</t>
        </r>
        <r>
          <rPr>
            <sz val="9"/>
            <rFont val="宋体"/>
            <charset val="134"/>
          </rPr>
          <t xml:space="preserve">
年初预算科目2130126</t>
        </r>
      </text>
    </comment>
    <comment ref="C177" authorId="0">
      <text>
        <r>
          <rPr>
            <b/>
            <sz val="9"/>
            <rFont val="宋体"/>
            <charset val="134"/>
          </rPr>
          <t>l:</t>
        </r>
        <r>
          <rPr>
            <sz val="9"/>
            <rFont val="宋体"/>
            <charset val="134"/>
          </rPr>
          <t xml:space="preserve">
年初预算科目2130199</t>
        </r>
      </text>
    </comment>
    <comment ref="L180" authorId="0">
      <text>
        <r>
          <rPr>
            <b/>
            <sz val="9"/>
            <rFont val="宋体"/>
            <charset val="134"/>
          </rPr>
          <t>l:</t>
        </r>
        <r>
          <rPr>
            <sz val="9"/>
            <rFont val="宋体"/>
            <charset val="134"/>
          </rPr>
          <t xml:space="preserve">
增加31.1万非税收入安排；
基金支出调整108万到公共预算。</t>
        </r>
      </text>
    </comment>
    <comment ref="C181" authorId="0">
      <text>
        <r>
          <rPr>
            <b/>
            <sz val="9"/>
            <rFont val="宋体"/>
            <charset val="134"/>
          </rPr>
          <t>l:</t>
        </r>
        <r>
          <rPr>
            <sz val="9"/>
            <rFont val="宋体"/>
            <charset val="134"/>
          </rPr>
          <t xml:space="preserve">
年初预算科目2130199</t>
        </r>
      </text>
    </comment>
    <comment ref="C182" authorId="0">
      <text>
        <r>
          <rPr>
            <b/>
            <sz val="9"/>
            <rFont val="宋体"/>
            <charset val="134"/>
          </rPr>
          <t>l:</t>
        </r>
        <r>
          <rPr>
            <sz val="9"/>
            <rFont val="宋体"/>
            <charset val="134"/>
          </rPr>
          <t xml:space="preserve">
年初预算科目2130199</t>
        </r>
      </text>
    </comment>
    <comment ref="C183" authorId="0">
      <text>
        <r>
          <rPr>
            <b/>
            <sz val="9"/>
            <rFont val="宋体"/>
            <charset val="134"/>
          </rPr>
          <t>l:</t>
        </r>
        <r>
          <rPr>
            <sz val="9"/>
            <rFont val="宋体"/>
            <charset val="134"/>
          </rPr>
          <t xml:space="preserve">
年初预算科目2130199</t>
        </r>
      </text>
    </comment>
    <comment ref="C190" authorId="0">
      <text>
        <r>
          <rPr>
            <b/>
            <sz val="9"/>
            <rFont val="宋体"/>
            <charset val="134"/>
          </rPr>
          <t>l:</t>
        </r>
        <r>
          <rPr>
            <sz val="9"/>
            <rFont val="宋体"/>
            <charset val="134"/>
          </rPr>
          <t xml:space="preserve">
年初预算科目2130299</t>
        </r>
      </text>
    </comment>
    <comment ref="C197" authorId="0">
      <text>
        <r>
          <rPr>
            <b/>
            <sz val="9"/>
            <rFont val="宋体"/>
            <charset val="134"/>
          </rPr>
          <t>l:</t>
        </r>
        <r>
          <rPr>
            <sz val="9"/>
            <rFont val="宋体"/>
            <charset val="134"/>
          </rPr>
          <t xml:space="preserve">
年初预算科目2130399</t>
        </r>
      </text>
    </comment>
    <comment ref="L569" authorId="0">
      <text>
        <r>
          <rPr>
            <b/>
            <sz val="9"/>
            <rFont val="宋体"/>
            <charset val="134"/>
          </rPr>
          <t>l:</t>
        </r>
        <r>
          <rPr>
            <sz val="9"/>
            <rFont val="宋体"/>
            <charset val="134"/>
          </rPr>
          <t xml:space="preserve">
基金支出调整</t>
        </r>
      </text>
    </comment>
    <comment ref="L572" authorId="0">
      <text>
        <r>
          <rPr>
            <b/>
            <sz val="9"/>
            <rFont val="宋体"/>
            <charset val="134"/>
          </rPr>
          <t>l:</t>
        </r>
        <r>
          <rPr>
            <sz val="9"/>
            <rFont val="宋体"/>
            <charset val="134"/>
          </rPr>
          <t xml:space="preserve">
非税收入安排</t>
        </r>
      </text>
    </comment>
    <comment ref="C594" authorId="0">
      <text>
        <r>
          <rPr>
            <b/>
            <sz val="9"/>
            <rFont val="宋体"/>
            <charset val="134"/>
          </rPr>
          <t>l:</t>
        </r>
        <r>
          <rPr>
            <sz val="9"/>
            <rFont val="宋体"/>
            <charset val="134"/>
          </rPr>
          <t xml:space="preserve">
年初预算科目2120501</t>
        </r>
      </text>
    </comment>
    <comment ref="L642" authorId="0">
      <text>
        <r>
          <rPr>
            <b/>
            <sz val="9"/>
            <rFont val="宋体"/>
            <charset val="134"/>
          </rPr>
          <t>l:</t>
        </r>
        <r>
          <rPr>
            <sz val="9"/>
            <rFont val="宋体"/>
            <charset val="134"/>
          </rPr>
          <t xml:space="preserve">
林地矛盾15万、2022年已上缴非税未拨付64.55万；</t>
        </r>
      </text>
    </comment>
    <comment ref="L713" authorId="0">
      <text>
        <r>
          <rPr>
            <b/>
            <sz val="9"/>
            <rFont val="宋体"/>
            <charset val="134"/>
          </rPr>
          <t>l:</t>
        </r>
        <r>
          <rPr>
            <sz val="9"/>
            <rFont val="宋体"/>
            <charset val="134"/>
          </rPr>
          <t xml:space="preserve">
新增兴隆社区开办费</t>
        </r>
      </text>
    </comment>
    <comment ref="L800" authorId="0">
      <text>
        <r>
          <rPr>
            <b/>
            <sz val="9"/>
            <rFont val="宋体"/>
            <charset val="134"/>
          </rPr>
          <t>l:</t>
        </r>
        <r>
          <rPr>
            <sz val="9"/>
            <rFont val="宋体"/>
            <charset val="134"/>
          </rPr>
          <t xml:space="preserve">
周局交待今年先安排130万，2024年安排100万。</t>
        </r>
      </text>
    </comment>
  </commentList>
</comments>
</file>

<file path=xl/sharedStrings.xml><?xml version="1.0" encoding="utf-8"?>
<sst xmlns="http://schemas.openxmlformats.org/spreadsheetml/2006/main" count="11679" uniqueCount="3922">
  <si>
    <t>2023年开发区·铁山区一般公共预算收入调整表</t>
  </si>
  <si>
    <t>单位：万元</t>
  </si>
  <si>
    <t>收入项目</t>
  </si>
  <si>
    <t>2022年决算数</t>
  </si>
  <si>
    <t>2023年预算数</t>
  </si>
  <si>
    <t>调整预算数</t>
  </si>
  <si>
    <t>与上年比</t>
  </si>
  <si>
    <t>与预算比</t>
  </si>
  <si>
    <t>合计</t>
  </si>
  <si>
    <t>开发区</t>
  </si>
  <si>
    <t>铁山区</t>
  </si>
  <si>
    <t>一、一般公共预算收入</t>
  </si>
  <si>
    <t>其中：金库收入</t>
  </si>
  <si>
    <t>（一）税收收入</t>
  </si>
  <si>
    <t xml:space="preserve">    增值税</t>
  </si>
  <si>
    <t xml:space="preserve">    企业所得税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</si>
  <si>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</si>
  <si>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</si>
  <si>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</si>
  <si>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</si>
  <si>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</si>
  <si>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</si>
  <si>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</si>
  <si>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车船税</t>
  </si>
  <si>
    <t xml:space="preserve">    耕地占用税</t>
  </si>
  <si>
    <t xml:space="preserve">    环境保护税</t>
  </si>
  <si>
    <t xml:space="preserve">    其他税收收入</t>
  </si>
  <si>
    <t xml:space="preserve">    契税（通报收入）</t>
  </si>
  <si>
    <t>（二）非税收入</t>
  </si>
  <si>
    <t xml:space="preserve">    专项收入</t>
  </si>
  <si>
    <t xml:space="preserve">    其中：教育费附加</t>
  </si>
  <si>
    <t xml:space="preserve">    行政事业性收费收入</t>
  </si>
  <si>
    <t xml:space="preserve">         其中：防空地下室易地建设费（通报收入）</t>
  </si>
  <si>
    <t xml:space="preserve">    罚没收入</t>
  </si>
  <si>
    <t xml:space="preserve">    国有资本经营收入</t>
  </si>
  <si>
    <t xml:space="preserve">    国有资源（资产）有偿使用收入</t>
  </si>
  <si>
    <t xml:space="preserve">    捐赠收入</t>
  </si>
  <si>
    <t xml:space="preserve">    政府住房基金收入</t>
  </si>
  <si>
    <t xml:space="preserve">    其他收入</t>
  </si>
  <si>
    <t>2023年开发区·铁山区一般公共预算支出调整表（功能分类）</t>
  </si>
  <si>
    <t>支出功能科目</t>
  </si>
  <si>
    <r>
      <rPr>
        <b/>
        <sz val="11"/>
        <color rgb="FF000000"/>
        <rFont val="Calibri"/>
        <charset val="0"/>
      </rPr>
      <t>2023</t>
    </r>
    <r>
      <rPr>
        <b/>
        <sz val="11"/>
        <color rgb="FF000000"/>
        <rFont val="宋体"/>
        <charset val="0"/>
      </rPr>
      <t>年预算数</t>
    </r>
  </si>
  <si>
    <t>合计（不含债务还本支出）</t>
  </si>
  <si>
    <r>
      <rPr>
        <b/>
        <sz val="10"/>
        <color indexed="8"/>
        <rFont val="Calibri"/>
        <charset val="0"/>
      </rPr>
      <t>[201]</t>
    </r>
    <r>
      <rPr>
        <b/>
        <sz val="10"/>
        <color indexed="8"/>
        <rFont val="宋体"/>
        <charset val="0"/>
      </rPr>
      <t>一般公共服务支出</t>
    </r>
  </si>
  <si>
    <r>
      <rPr>
        <b/>
        <sz val="10"/>
        <color indexed="8"/>
        <rFont val="宋体"/>
        <charset val="0"/>
      </rPr>
      <t>　</t>
    </r>
    <r>
      <rPr>
        <b/>
        <sz val="10"/>
        <color indexed="8"/>
        <rFont val="Calibri"/>
        <charset val="0"/>
      </rPr>
      <t>[20101]</t>
    </r>
    <r>
      <rPr>
        <b/>
        <sz val="10"/>
        <color indexed="8"/>
        <rFont val="宋体"/>
        <charset val="0"/>
      </rPr>
      <t>人大事务</t>
    </r>
  </si>
  <si>
    <r>
      <rPr>
        <sz val="10"/>
        <color indexed="8"/>
        <rFont val="宋体"/>
        <charset val="0"/>
      </rPr>
      <t>　　</t>
    </r>
    <r>
      <rPr>
        <sz val="10"/>
        <color indexed="8"/>
        <rFont val="Calibri"/>
        <charset val="0"/>
      </rPr>
      <t>[2010101]</t>
    </r>
    <r>
      <rPr>
        <sz val="10"/>
        <color indexed="8"/>
        <rFont val="宋体"/>
        <charset val="0"/>
      </rPr>
      <t>行政运行</t>
    </r>
  </si>
  <si>
    <r>
      <rPr>
        <sz val="10"/>
        <color indexed="8"/>
        <rFont val="宋体"/>
        <charset val="0"/>
      </rPr>
      <t>　　</t>
    </r>
    <r>
      <rPr>
        <sz val="10"/>
        <color indexed="8"/>
        <rFont val="Calibri"/>
        <charset val="0"/>
      </rPr>
      <t>[2010102]</t>
    </r>
    <r>
      <rPr>
        <sz val="10"/>
        <color indexed="8"/>
        <rFont val="宋体"/>
        <charset val="0"/>
      </rPr>
      <t>一般行政管理事务</t>
    </r>
  </si>
  <si>
    <r>
      <rPr>
        <sz val="10"/>
        <color indexed="8"/>
        <rFont val="宋体"/>
        <charset val="0"/>
      </rPr>
      <t>　　</t>
    </r>
    <r>
      <rPr>
        <sz val="10"/>
        <color indexed="8"/>
        <rFont val="Calibri"/>
        <charset val="0"/>
      </rPr>
      <t>[2010104]</t>
    </r>
    <r>
      <rPr>
        <sz val="10"/>
        <color indexed="8"/>
        <rFont val="宋体"/>
        <charset val="0"/>
      </rPr>
      <t>人大会议</t>
    </r>
  </si>
  <si>
    <r>
      <rPr>
        <sz val="10"/>
        <color indexed="8"/>
        <rFont val="宋体"/>
        <charset val="0"/>
      </rPr>
      <t>　　</t>
    </r>
    <r>
      <rPr>
        <sz val="10"/>
        <color indexed="8"/>
        <rFont val="Calibri"/>
        <charset val="0"/>
      </rPr>
      <t>[2010199]</t>
    </r>
    <r>
      <rPr>
        <sz val="10"/>
        <color indexed="8"/>
        <rFont val="宋体"/>
        <charset val="0"/>
      </rPr>
      <t>其他人大事务支出</t>
    </r>
  </si>
  <si>
    <r>
      <rPr>
        <b/>
        <sz val="10"/>
        <color indexed="8"/>
        <rFont val="宋体"/>
        <charset val="0"/>
      </rPr>
      <t>　</t>
    </r>
    <r>
      <rPr>
        <b/>
        <sz val="10"/>
        <color indexed="8"/>
        <rFont val="Calibri"/>
        <charset val="0"/>
      </rPr>
      <t>[20102]</t>
    </r>
    <r>
      <rPr>
        <b/>
        <sz val="10"/>
        <color indexed="8"/>
        <rFont val="宋体"/>
        <charset val="0"/>
      </rPr>
      <t>政协事务</t>
    </r>
  </si>
  <si>
    <r>
      <rPr>
        <sz val="10"/>
        <color indexed="8"/>
        <rFont val="宋体"/>
        <charset val="0"/>
      </rPr>
      <t>　　</t>
    </r>
    <r>
      <rPr>
        <sz val="10"/>
        <color indexed="8"/>
        <rFont val="Calibri"/>
        <charset val="0"/>
      </rPr>
      <t>[2010201]</t>
    </r>
    <r>
      <rPr>
        <sz val="10"/>
        <color indexed="8"/>
        <rFont val="宋体"/>
        <charset val="0"/>
      </rPr>
      <t>行政运行</t>
    </r>
  </si>
  <si>
    <r>
      <rPr>
        <sz val="10"/>
        <color indexed="8"/>
        <rFont val="宋体"/>
        <charset val="0"/>
      </rPr>
      <t>　　</t>
    </r>
    <r>
      <rPr>
        <sz val="10"/>
        <color indexed="8"/>
        <rFont val="Calibri"/>
        <charset val="0"/>
      </rPr>
      <t>[2010202]</t>
    </r>
    <r>
      <rPr>
        <sz val="10"/>
        <color indexed="8"/>
        <rFont val="宋体"/>
        <charset val="0"/>
      </rPr>
      <t>一般行政管理事务</t>
    </r>
  </si>
  <si>
    <r>
      <rPr>
        <sz val="10"/>
        <color indexed="8"/>
        <rFont val="宋体"/>
        <charset val="0"/>
      </rPr>
      <t>　　</t>
    </r>
    <r>
      <rPr>
        <sz val="10"/>
        <color indexed="8"/>
        <rFont val="Calibri"/>
        <charset val="0"/>
      </rPr>
      <t>[2010204]</t>
    </r>
    <r>
      <rPr>
        <sz val="10"/>
        <color indexed="8"/>
        <rFont val="宋体"/>
        <charset val="0"/>
      </rPr>
      <t>政协会议</t>
    </r>
  </si>
  <si>
    <r>
      <rPr>
        <sz val="10"/>
        <color indexed="8"/>
        <rFont val="宋体"/>
        <charset val="0"/>
      </rPr>
      <t>　　</t>
    </r>
    <r>
      <rPr>
        <sz val="10"/>
        <color indexed="8"/>
        <rFont val="Calibri"/>
        <charset val="0"/>
      </rPr>
      <t>[2010299]</t>
    </r>
    <r>
      <rPr>
        <sz val="10"/>
        <color indexed="8"/>
        <rFont val="宋体"/>
        <charset val="0"/>
      </rPr>
      <t>其他政协事务支出</t>
    </r>
  </si>
  <si>
    <r>
      <rPr>
        <b/>
        <sz val="10"/>
        <color indexed="8"/>
        <rFont val="宋体"/>
        <charset val="0"/>
      </rPr>
      <t>　</t>
    </r>
    <r>
      <rPr>
        <b/>
        <sz val="10"/>
        <color indexed="8"/>
        <rFont val="Calibri"/>
        <charset val="0"/>
      </rPr>
      <t>[20103]</t>
    </r>
    <r>
      <rPr>
        <b/>
        <sz val="10"/>
        <color indexed="8"/>
        <rFont val="宋体"/>
        <charset val="0"/>
      </rPr>
      <t>政府办公厅（室）及相关机构事务</t>
    </r>
  </si>
  <si>
    <r>
      <rPr>
        <sz val="10"/>
        <color indexed="8"/>
        <rFont val="宋体"/>
        <charset val="0"/>
      </rPr>
      <t>　　</t>
    </r>
    <r>
      <rPr>
        <sz val="10"/>
        <color indexed="8"/>
        <rFont val="Calibri"/>
        <charset val="0"/>
      </rPr>
      <t>[2010301]</t>
    </r>
    <r>
      <rPr>
        <sz val="10"/>
        <color indexed="8"/>
        <rFont val="宋体"/>
        <charset val="0"/>
      </rPr>
      <t>行政运行</t>
    </r>
  </si>
  <si>
    <r>
      <rPr>
        <sz val="10"/>
        <color indexed="8"/>
        <rFont val="宋体"/>
        <charset val="0"/>
      </rPr>
      <t>　　</t>
    </r>
    <r>
      <rPr>
        <sz val="10"/>
        <color indexed="8"/>
        <rFont val="Calibri"/>
        <charset val="0"/>
      </rPr>
      <t>[2010302]</t>
    </r>
    <r>
      <rPr>
        <sz val="10"/>
        <color indexed="8"/>
        <rFont val="宋体"/>
        <charset val="0"/>
      </rPr>
      <t>一般行政管理事务</t>
    </r>
  </si>
  <si>
    <r>
      <rPr>
        <b/>
        <sz val="10"/>
        <color indexed="8"/>
        <rFont val="宋体"/>
        <charset val="0"/>
      </rPr>
      <t>　</t>
    </r>
    <r>
      <rPr>
        <b/>
        <sz val="10"/>
        <color indexed="8"/>
        <rFont val="Calibri"/>
        <charset val="0"/>
      </rPr>
      <t>[20104]</t>
    </r>
    <r>
      <rPr>
        <b/>
        <sz val="10"/>
        <color indexed="8"/>
        <rFont val="宋体"/>
        <charset val="0"/>
      </rPr>
      <t>发展与改革事务</t>
    </r>
  </si>
  <si>
    <r>
      <rPr>
        <sz val="10"/>
        <color indexed="8"/>
        <rFont val="宋体"/>
        <charset val="0"/>
      </rPr>
      <t>　　</t>
    </r>
    <r>
      <rPr>
        <sz val="10"/>
        <color indexed="8"/>
        <rFont val="Calibri"/>
        <charset val="0"/>
      </rPr>
      <t>[2010401]</t>
    </r>
    <r>
      <rPr>
        <sz val="10"/>
        <color indexed="8"/>
        <rFont val="宋体"/>
        <charset val="0"/>
      </rPr>
      <t>行政运行</t>
    </r>
  </si>
  <si>
    <r>
      <rPr>
        <sz val="10"/>
        <color indexed="8"/>
        <rFont val="宋体"/>
        <charset val="0"/>
      </rPr>
      <t>　　</t>
    </r>
    <r>
      <rPr>
        <sz val="10"/>
        <color indexed="8"/>
        <rFont val="Calibri"/>
        <charset val="0"/>
      </rPr>
      <t>[2010402]</t>
    </r>
    <r>
      <rPr>
        <sz val="10"/>
        <color indexed="8"/>
        <rFont val="宋体"/>
        <charset val="0"/>
      </rPr>
      <t>一般行政管理事务</t>
    </r>
  </si>
  <si>
    <r>
      <rPr>
        <sz val="10"/>
        <color rgb="FF000000"/>
        <rFont val="宋体"/>
        <charset val="0"/>
      </rPr>
      <t>　　</t>
    </r>
    <r>
      <rPr>
        <sz val="10"/>
        <color rgb="FF000000"/>
        <rFont val="Calibri"/>
        <charset val="0"/>
      </rPr>
      <t>[2010499]</t>
    </r>
    <r>
      <rPr>
        <sz val="10"/>
        <color rgb="FF000000"/>
        <rFont val="宋体"/>
        <charset val="0"/>
      </rPr>
      <t>其他发展与改革事务支出</t>
    </r>
  </si>
  <si>
    <r>
      <rPr>
        <b/>
        <sz val="10"/>
        <color indexed="8"/>
        <rFont val="宋体"/>
        <charset val="0"/>
      </rPr>
      <t>　</t>
    </r>
    <r>
      <rPr>
        <b/>
        <sz val="10"/>
        <color indexed="8"/>
        <rFont val="Calibri"/>
        <charset val="0"/>
      </rPr>
      <t>[20105]</t>
    </r>
    <r>
      <rPr>
        <b/>
        <sz val="10"/>
        <color indexed="8"/>
        <rFont val="宋体"/>
        <charset val="0"/>
      </rPr>
      <t>统计信息事务</t>
    </r>
  </si>
  <si>
    <r>
      <rPr>
        <sz val="10"/>
        <color indexed="8"/>
        <rFont val="宋体"/>
        <charset val="0"/>
      </rPr>
      <t>　　</t>
    </r>
    <r>
      <rPr>
        <sz val="10"/>
        <color indexed="8"/>
        <rFont val="Calibri"/>
        <charset val="0"/>
      </rPr>
      <t>[2010501]</t>
    </r>
    <r>
      <rPr>
        <sz val="10"/>
        <color indexed="8"/>
        <rFont val="宋体"/>
        <charset val="0"/>
      </rPr>
      <t>行政运行</t>
    </r>
  </si>
  <si>
    <r>
      <rPr>
        <sz val="10"/>
        <color rgb="FF000000"/>
        <rFont val="宋体"/>
        <charset val="0"/>
      </rPr>
      <t>　　</t>
    </r>
    <r>
      <rPr>
        <sz val="10"/>
        <color rgb="FF000000"/>
        <rFont val="Calibri"/>
        <charset val="0"/>
      </rPr>
      <t>[2010502]</t>
    </r>
    <r>
      <rPr>
        <sz val="10"/>
        <color rgb="FF000000"/>
        <rFont val="宋体"/>
        <charset val="0"/>
      </rPr>
      <t>一般行政管理事务</t>
    </r>
  </si>
  <si>
    <r>
      <rPr>
        <sz val="10"/>
        <color indexed="8"/>
        <rFont val="宋体"/>
        <charset val="0"/>
      </rPr>
      <t>　　</t>
    </r>
    <r>
      <rPr>
        <sz val="10"/>
        <color indexed="8"/>
        <rFont val="Calibri"/>
        <charset val="0"/>
      </rPr>
      <t>[2010507]</t>
    </r>
    <r>
      <rPr>
        <sz val="10"/>
        <color indexed="8"/>
        <rFont val="宋体"/>
        <charset val="0"/>
      </rPr>
      <t>专项普查活动</t>
    </r>
  </si>
  <si>
    <r>
      <rPr>
        <b/>
        <sz val="10"/>
        <color indexed="8"/>
        <rFont val="宋体"/>
        <charset val="0"/>
      </rPr>
      <t>　</t>
    </r>
    <r>
      <rPr>
        <b/>
        <sz val="10"/>
        <color indexed="8"/>
        <rFont val="Calibri"/>
        <charset val="0"/>
      </rPr>
      <t>[20106]</t>
    </r>
    <r>
      <rPr>
        <b/>
        <sz val="10"/>
        <color indexed="8"/>
        <rFont val="宋体"/>
        <charset val="0"/>
      </rPr>
      <t>财政事务</t>
    </r>
  </si>
  <si>
    <r>
      <rPr>
        <sz val="10"/>
        <color indexed="8"/>
        <rFont val="宋体"/>
        <charset val="0"/>
      </rPr>
      <t>　　</t>
    </r>
    <r>
      <rPr>
        <sz val="10"/>
        <color indexed="8"/>
        <rFont val="Calibri"/>
        <charset val="0"/>
      </rPr>
      <t>[2010601]</t>
    </r>
    <r>
      <rPr>
        <sz val="10"/>
        <color indexed="8"/>
        <rFont val="宋体"/>
        <charset val="0"/>
      </rPr>
      <t>行政运行</t>
    </r>
  </si>
  <si>
    <r>
      <rPr>
        <sz val="10"/>
        <color rgb="FF000000"/>
        <rFont val="宋体"/>
        <charset val="0"/>
      </rPr>
      <t>　　</t>
    </r>
    <r>
      <rPr>
        <sz val="10"/>
        <color rgb="FF000000"/>
        <rFont val="Calibri"/>
        <charset val="0"/>
      </rPr>
      <t>[2010602]</t>
    </r>
    <r>
      <rPr>
        <sz val="10"/>
        <color rgb="FF000000"/>
        <rFont val="宋体"/>
        <charset val="0"/>
      </rPr>
      <t>一般行政管理事务</t>
    </r>
  </si>
  <si>
    <r>
      <rPr>
        <sz val="10"/>
        <color rgb="FF000000"/>
        <rFont val="宋体"/>
        <charset val="0"/>
      </rPr>
      <t>　　</t>
    </r>
    <r>
      <rPr>
        <sz val="10"/>
        <color rgb="FF000000"/>
        <rFont val="Calibri"/>
        <charset val="0"/>
      </rPr>
      <t>[2010605]</t>
    </r>
    <r>
      <rPr>
        <sz val="10"/>
        <color rgb="FF000000"/>
        <rFont val="宋体"/>
        <charset val="0"/>
      </rPr>
      <t>财政国库业务</t>
    </r>
  </si>
  <si>
    <r>
      <rPr>
        <sz val="10"/>
        <color indexed="8"/>
        <rFont val="宋体"/>
        <charset val="0"/>
      </rPr>
      <t>　　</t>
    </r>
    <r>
      <rPr>
        <sz val="10"/>
        <color indexed="8"/>
        <rFont val="Calibri"/>
        <charset val="0"/>
      </rPr>
      <t>[2010607]</t>
    </r>
    <r>
      <rPr>
        <sz val="10"/>
        <color indexed="8"/>
        <rFont val="宋体"/>
        <charset val="0"/>
      </rPr>
      <t>信息化建设</t>
    </r>
  </si>
  <si>
    <r>
      <rPr>
        <sz val="10"/>
        <color indexed="8"/>
        <rFont val="宋体"/>
        <charset val="0"/>
      </rPr>
      <t>　　</t>
    </r>
    <r>
      <rPr>
        <sz val="10"/>
        <color indexed="8"/>
        <rFont val="Calibri"/>
        <charset val="0"/>
      </rPr>
      <t>[2010650]</t>
    </r>
    <r>
      <rPr>
        <sz val="10"/>
        <color indexed="8"/>
        <rFont val="宋体"/>
        <charset val="0"/>
      </rPr>
      <t>事业运行</t>
    </r>
  </si>
  <si>
    <r>
      <rPr>
        <sz val="10"/>
        <color indexed="8"/>
        <rFont val="宋体"/>
        <charset val="0"/>
      </rPr>
      <t>　　</t>
    </r>
    <r>
      <rPr>
        <sz val="10"/>
        <color indexed="8"/>
        <rFont val="Calibri"/>
        <charset val="0"/>
      </rPr>
      <t>[2010699]</t>
    </r>
    <r>
      <rPr>
        <sz val="10"/>
        <color indexed="8"/>
        <rFont val="宋体"/>
        <charset val="0"/>
      </rPr>
      <t>其他财政事务支出</t>
    </r>
  </si>
  <si>
    <r>
      <rPr>
        <b/>
        <sz val="10"/>
        <color indexed="8"/>
        <rFont val="宋体"/>
        <charset val="0"/>
      </rPr>
      <t>　</t>
    </r>
    <r>
      <rPr>
        <b/>
        <sz val="10"/>
        <color indexed="8"/>
        <rFont val="Calibri"/>
        <charset val="0"/>
      </rPr>
      <t>[20107]</t>
    </r>
    <r>
      <rPr>
        <b/>
        <sz val="10"/>
        <color indexed="8"/>
        <rFont val="宋体"/>
        <charset val="0"/>
      </rPr>
      <t>税收事务</t>
    </r>
  </si>
  <si>
    <r>
      <rPr>
        <sz val="10"/>
        <color indexed="8"/>
        <rFont val="宋体"/>
        <charset val="0"/>
      </rPr>
      <t>　　</t>
    </r>
    <r>
      <rPr>
        <sz val="10"/>
        <color indexed="8"/>
        <rFont val="Calibri"/>
        <charset val="0"/>
      </rPr>
      <t>[2010710]</t>
    </r>
    <r>
      <rPr>
        <sz val="10"/>
        <color indexed="8"/>
        <rFont val="宋体"/>
        <charset val="0"/>
      </rPr>
      <t>税收业务</t>
    </r>
  </si>
  <si>
    <r>
      <rPr>
        <b/>
        <sz val="10"/>
        <color indexed="8"/>
        <rFont val="宋体"/>
        <charset val="0"/>
      </rPr>
      <t>　</t>
    </r>
    <r>
      <rPr>
        <b/>
        <sz val="10"/>
        <color indexed="8"/>
        <rFont val="Calibri"/>
        <charset val="0"/>
      </rPr>
      <t>[20108]</t>
    </r>
    <r>
      <rPr>
        <b/>
        <sz val="10"/>
        <color indexed="8"/>
        <rFont val="宋体"/>
        <charset val="0"/>
      </rPr>
      <t>审计事务</t>
    </r>
  </si>
  <si>
    <r>
      <rPr>
        <sz val="10"/>
        <color indexed="8"/>
        <rFont val="宋体"/>
        <charset val="0"/>
      </rPr>
      <t>　　</t>
    </r>
    <r>
      <rPr>
        <sz val="10"/>
        <color indexed="8"/>
        <rFont val="Calibri"/>
        <charset val="0"/>
      </rPr>
      <t>[2010801]</t>
    </r>
    <r>
      <rPr>
        <sz val="10"/>
        <color indexed="8"/>
        <rFont val="宋体"/>
        <charset val="0"/>
      </rPr>
      <t>行政运行</t>
    </r>
  </si>
  <si>
    <r>
      <rPr>
        <sz val="10"/>
        <color rgb="FF000000"/>
        <rFont val="宋体"/>
        <charset val="0"/>
      </rPr>
      <t>　　</t>
    </r>
    <r>
      <rPr>
        <sz val="10"/>
        <color rgb="FF000000"/>
        <rFont val="Calibri"/>
        <charset val="0"/>
      </rPr>
      <t>[2010802]</t>
    </r>
    <r>
      <rPr>
        <sz val="10"/>
        <color rgb="FF000000"/>
        <rFont val="宋体"/>
        <charset val="0"/>
      </rPr>
      <t>一般行政管理事务</t>
    </r>
  </si>
  <si>
    <r>
      <rPr>
        <sz val="10"/>
        <color indexed="8"/>
        <rFont val="宋体"/>
        <charset val="0"/>
      </rPr>
      <t>　　</t>
    </r>
    <r>
      <rPr>
        <sz val="10"/>
        <color indexed="8"/>
        <rFont val="Calibri"/>
        <charset val="0"/>
      </rPr>
      <t>[2010804]</t>
    </r>
    <r>
      <rPr>
        <sz val="10"/>
        <color indexed="8"/>
        <rFont val="宋体"/>
        <charset val="0"/>
      </rPr>
      <t>审计业务</t>
    </r>
  </si>
  <si>
    <r>
      <rPr>
        <b/>
        <sz val="10"/>
        <color indexed="8"/>
        <rFont val="宋体"/>
        <charset val="0"/>
      </rPr>
      <t>　</t>
    </r>
    <r>
      <rPr>
        <b/>
        <sz val="10"/>
        <color indexed="8"/>
        <rFont val="Calibri"/>
        <charset val="0"/>
      </rPr>
      <t>[20111]</t>
    </r>
    <r>
      <rPr>
        <b/>
        <sz val="10"/>
        <color indexed="8"/>
        <rFont val="宋体"/>
        <charset val="0"/>
      </rPr>
      <t>纪检监察事务</t>
    </r>
  </si>
  <si>
    <r>
      <rPr>
        <sz val="10"/>
        <color indexed="8"/>
        <rFont val="宋体"/>
        <charset val="0"/>
      </rPr>
      <t>　　</t>
    </r>
    <r>
      <rPr>
        <sz val="10"/>
        <color indexed="8"/>
        <rFont val="Calibri"/>
        <charset val="0"/>
      </rPr>
      <t>[2011101]</t>
    </r>
    <r>
      <rPr>
        <sz val="10"/>
        <color indexed="8"/>
        <rFont val="宋体"/>
        <charset val="0"/>
      </rPr>
      <t>行政运行</t>
    </r>
  </si>
  <si>
    <r>
      <rPr>
        <sz val="10"/>
        <color indexed="8"/>
        <rFont val="宋体"/>
        <charset val="0"/>
      </rPr>
      <t>　　</t>
    </r>
    <r>
      <rPr>
        <sz val="10"/>
        <color indexed="8"/>
        <rFont val="Calibri"/>
        <charset val="0"/>
      </rPr>
      <t>[2011102]</t>
    </r>
    <r>
      <rPr>
        <sz val="10"/>
        <color indexed="8"/>
        <rFont val="宋体"/>
        <charset val="0"/>
      </rPr>
      <t>一般行政管理事务</t>
    </r>
  </si>
  <si>
    <r>
      <rPr>
        <sz val="10"/>
        <color rgb="FF000000"/>
        <rFont val="宋体"/>
        <charset val="0"/>
      </rPr>
      <t>　　</t>
    </r>
    <r>
      <rPr>
        <sz val="10"/>
        <color rgb="FF000000"/>
        <rFont val="Calibri"/>
        <charset val="0"/>
      </rPr>
      <t>[2011199]</t>
    </r>
    <r>
      <rPr>
        <sz val="10"/>
        <color rgb="FF000000"/>
        <rFont val="宋体"/>
        <charset val="0"/>
      </rPr>
      <t>其他纪检监察事务支出</t>
    </r>
  </si>
  <si>
    <r>
      <rPr>
        <b/>
        <sz val="10"/>
        <color indexed="8"/>
        <rFont val="宋体"/>
        <charset val="0"/>
      </rPr>
      <t>　</t>
    </r>
    <r>
      <rPr>
        <b/>
        <sz val="10"/>
        <color indexed="8"/>
        <rFont val="Calibri"/>
        <charset val="0"/>
      </rPr>
      <t>[20113]</t>
    </r>
    <r>
      <rPr>
        <b/>
        <sz val="10"/>
        <color indexed="8"/>
        <rFont val="宋体"/>
        <charset val="0"/>
      </rPr>
      <t>商贸事务</t>
    </r>
  </si>
  <si>
    <r>
      <rPr>
        <sz val="10"/>
        <color indexed="8"/>
        <rFont val="宋体"/>
        <charset val="0"/>
      </rPr>
      <t>　　</t>
    </r>
    <r>
      <rPr>
        <sz val="10"/>
        <color indexed="8"/>
        <rFont val="Calibri"/>
        <charset val="0"/>
      </rPr>
      <t>[2011301]</t>
    </r>
    <r>
      <rPr>
        <sz val="10"/>
        <color indexed="8"/>
        <rFont val="宋体"/>
        <charset val="0"/>
      </rPr>
      <t>行政运行</t>
    </r>
  </si>
  <si>
    <r>
      <rPr>
        <sz val="10"/>
        <color indexed="8"/>
        <rFont val="宋体"/>
        <charset val="0"/>
      </rPr>
      <t>　　</t>
    </r>
    <r>
      <rPr>
        <sz val="10"/>
        <color indexed="8"/>
        <rFont val="Calibri"/>
        <charset val="0"/>
      </rPr>
      <t>[2011302]</t>
    </r>
    <r>
      <rPr>
        <sz val="10"/>
        <color indexed="8"/>
        <rFont val="宋体"/>
        <charset val="0"/>
      </rPr>
      <t>一般行政管理事务</t>
    </r>
  </si>
  <si>
    <r>
      <rPr>
        <sz val="10"/>
        <color indexed="8"/>
        <rFont val="宋体"/>
        <charset val="0"/>
      </rPr>
      <t>　　</t>
    </r>
    <r>
      <rPr>
        <sz val="10"/>
        <color indexed="8"/>
        <rFont val="Calibri"/>
        <charset val="0"/>
      </rPr>
      <t>[2011308]</t>
    </r>
    <r>
      <rPr>
        <sz val="10"/>
        <color indexed="8"/>
        <rFont val="宋体"/>
        <charset val="0"/>
      </rPr>
      <t>招商引资</t>
    </r>
  </si>
  <si>
    <r>
      <rPr>
        <b/>
        <sz val="10"/>
        <color rgb="FF000000"/>
        <rFont val="宋体"/>
        <charset val="0"/>
      </rPr>
      <t>　</t>
    </r>
    <r>
      <rPr>
        <b/>
        <sz val="10"/>
        <color rgb="FF000000"/>
        <rFont val="Calibri"/>
        <charset val="0"/>
      </rPr>
      <t>[20125]</t>
    </r>
    <r>
      <rPr>
        <b/>
        <sz val="10"/>
        <color rgb="FF000000"/>
        <rFont val="宋体"/>
        <charset val="0"/>
      </rPr>
      <t>港澳台事务</t>
    </r>
  </si>
  <si>
    <r>
      <rPr>
        <sz val="10"/>
        <color rgb="FF000000"/>
        <rFont val="宋体"/>
        <charset val="0"/>
      </rPr>
      <t>　　</t>
    </r>
    <r>
      <rPr>
        <sz val="10"/>
        <color rgb="FF000000"/>
        <rFont val="Calibri"/>
        <charset val="0"/>
      </rPr>
      <t>[2012505]</t>
    </r>
    <r>
      <rPr>
        <sz val="10"/>
        <color rgb="FF000000"/>
        <rFont val="宋体"/>
        <charset val="0"/>
      </rPr>
      <t>台湾事务</t>
    </r>
  </si>
  <si>
    <r>
      <rPr>
        <b/>
        <sz val="10"/>
        <color indexed="8"/>
        <rFont val="宋体"/>
        <charset val="0"/>
      </rPr>
      <t>　</t>
    </r>
    <r>
      <rPr>
        <b/>
        <sz val="10"/>
        <color indexed="8"/>
        <rFont val="Calibri"/>
        <charset val="0"/>
      </rPr>
      <t>[20129]</t>
    </r>
    <r>
      <rPr>
        <b/>
        <sz val="10"/>
        <color indexed="8"/>
        <rFont val="宋体"/>
        <charset val="0"/>
      </rPr>
      <t>群众团体事务</t>
    </r>
  </si>
  <si>
    <r>
      <rPr>
        <sz val="10"/>
        <color indexed="8"/>
        <rFont val="宋体"/>
        <charset val="0"/>
      </rPr>
      <t>　　</t>
    </r>
    <r>
      <rPr>
        <sz val="10"/>
        <color indexed="8"/>
        <rFont val="Calibri"/>
        <charset val="0"/>
      </rPr>
      <t>[2012901]</t>
    </r>
    <r>
      <rPr>
        <sz val="10"/>
        <color indexed="8"/>
        <rFont val="宋体"/>
        <charset val="0"/>
      </rPr>
      <t>行政运行</t>
    </r>
  </si>
  <si>
    <r>
      <rPr>
        <sz val="10"/>
        <color indexed="8"/>
        <rFont val="宋体"/>
        <charset val="0"/>
      </rPr>
      <t>　　</t>
    </r>
    <r>
      <rPr>
        <sz val="10"/>
        <color indexed="8"/>
        <rFont val="Calibri"/>
        <charset val="0"/>
      </rPr>
      <t>[2012902]</t>
    </r>
    <r>
      <rPr>
        <sz val="10"/>
        <color indexed="8"/>
        <rFont val="宋体"/>
        <charset val="0"/>
      </rPr>
      <t>一般行政管理事务</t>
    </r>
  </si>
  <si>
    <r>
      <rPr>
        <sz val="10"/>
        <color indexed="8"/>
        <rFont val="宋体"/>
        <charset val="0"/>
      </rPr>
      <t>　　</t>
    </r>
    <r>
      <rPr>
        <sz val="10"/>
        <color indexed="8"/>
        <rFont val="Calibri"/>
        <charset val="0"/>
      </rPr>
      <t>[2012906]</t>
    </r>
    <r>
      <rPr>
        <sz val="10"/>
        <color indexed="8"/>
        <rFont val="宋体"/>
        <charset val="0"/>
      </rPr>
      <t>工会事务</t>
    </r>
  </si>
  <si>
    <r>
      <rPr>
        <sz val="10"/>
        <color indexed="8"/>
        <rFont val="宋体"/>
        <charset val="0"/>
      </rPr>
      <t>　　</t>
    </r>
    <r>
      <rPr>
        <sz val="10"/>
        <color indexed="8"/>
        <rFont val="Calibri"/>
        <charset val="0"/>
      </rPr>
      <t>[2012999]</t>
    </r>
    <r>
      <rPr>
        <sz val="10"/>
        <color indexed="8"/>
        <rFont val="宋体"/>
        <charset val="0"/>
      </rPr>
      <t>其他群众团体事务支出</t>
    </r>
  </si>
  <si>
    <r>
      <rPr>
        <b/>
        <sz val="10"/>
        <color indexed="8"/>
        <rFont val="宋体"/>
        <charset val="0"/>
      </rPr>
      <t>　</t>
    </r>
    <r>
      <rPr>
        <b/>
        <sz val="10"/>
        <color indexed="8"/>
        <rFont val="Calibri"/>
        <charset val="0"/>
      </rPr>
      <t>[20132]</t>
    </r>
    <r>
      <rPr>
        <b/>
        <sz val="10"/>
        <color indexed="8"/>
        <rFont val="宋体"/>
        <charset val="0"/>
      </rPr>
      <t>组织事务</t>
    </r>
  </si>
  <si>
    <r>
      <rPr>
        <sz val="10"/>
        <color indexed="8"/>
        <rFont val="宋体"/>
        <charset val="0"/>
      </rPr>
      <t>　　</t>
    </r>
    <r>
      <rPr>
        <sz val="10"/>
        <color indexed="8"/>
        <rFont val="Calibri"/>
        <charset val="0"/>
      </rPr>
      <t>[2013201]</t>
    </r>
    <r>
      <rPr>
        <sz val="10"/>
        <color indexed="8"/>
        <rFont val="宋体"/>
        <charset val="0"/>
      </rPr>
      <t>行政运行</t>
    </r>
  </si>
  <si>
    <r>
      <rPr>
        <sz val="10"/>
        <color indexed="8"/>
        <rFont val="宋体"/>
        <charset val="0"/>
      </rPr>
      <t>　　</t>
    </r>
    <r>
      <rPr>
        <sz val="10"/>
        <color indexed="8"/>
        <rFont val="Calibri"/>
        <charset val="0"/>
      </rPr>
      <t>[2013202]</t>
    </r>
    <r>
      <rPr>
        <sz val="10"/>
        <color indexed="8"/>
        <rFont val="宋体"/>
        <charset val="0"/>
      </rPr>
      <t>一般行政管理事务</t>
    </r>
  </si>
  <si>
    <r>
      <rPr>
        <sz val="10"/>
        <color indexed="8"/>
        <rFont val="宋体"/>
        <charset val="0"/>
      </rPr>
      <t>　　</t>
    </r>
    <r>
      <rPr>
        <sz val="10"/>
        <color indexed="8"/>
        <rFont val="Calibri"/>
        <charset val="0"/>
      </rPr>
      <t>[2013299]</t>
    </r>
    <r>
      <rPr>
        <sz val="10"/>
        <color indexed="8"/>
        <rFont val="宋体"/>
        <charset val="0"/>
      </rPr>
      <t>其他组织事务支出</t>
    </r>
  </si>
  <si>
    <r>
      <rPr>
        <b/>
        <sz val="10"/>
        <color indexed="8"/>
        <rFont val="宋体"/>
        <charset val="0"/>
      </rPr>
      <t>　</t>
    </r>
    <r>
      <rPr>
        <b/>
        <sz val="10"/>
        <color indexed="8"/>
        <rFont val="Calibri"/>
        <charset val="0"/>
      </rPr>
      <t>[20133]</t>
    </r>
    <r>
      <rPr>
        <b/>
        <sz val="10"/>
        <color indexed="8"/>
        <rFont val="宋体"/>
        <charset val="0"/>
      </rPr>
      <t>宣传事务</t>
    </r>
  </si>
  <si>
    <r>
      <rPr>
        <sz val="10"/>
        <color indexed="8"/>
        <rFont val="宋体"/>
        <charset val="0"/>
      </rPr>
      <t>　　</t>
    </r>
    <r>
      <rPr>
        <sz val="10"/>
        <color indexed="8"/>
        <rFont val="Calibri"/>
        <charset val="0"/>
      </rPr>
      <t>[2013301]</t>
    </r>
    <r>
      <rPr>
        <sz val="10"/>
        <color indexed="8"/>
        <rFont val="宋体"/>
        <charset val="0"/>
      </rPr>
      <t>行政运行</t>
    </r>
  </si>
  <si>
    <r>
      <rPr>
        <sz val="10"/>
        <color indexed="8"/>
        <rFont val="宋体"/>
        <charset val="0"/>
      </rPr>
      <t>　　</t>
    </r>
    <r>
      <rPr>
        <sz val="10"/>
        <color indexed="8"/>
        <rFont val="Calibri"/>
        <charset val="0"/>
      </rPr>
      <t>[2013302]</t>
    </r>
    <r>
      <rPr>
        <sz val="10"/>
        <color indexed="8"/>
        <rFont val="宋体"/>
        <charset val="0"/>
      </rPr>
      <t>一般行政管理事务</t>
    </r>
  </si>
  <si>
    <r>
      <rPr>
        <b/>
        <sz val="10"/>
        <color indexed="8"/>
        <rFont val="宋体"/>
        <charset val="0"/>
      </rPr>
      <t>　</t>
    </r>
    <r>
      <rPr>
        <b/>
        <sz val="10"/>
        <color indexed="8"/>
        <rFont val="Calibri"/>
        <charset val="0"/>
      </rPr>
      <t>[20134]</t>
    </r>
    <r>
      <rPr>
        <b/>
        <sz val="10"/>
        <color indexed="8"/>
        <rFont val="宋体"/>
        <charset val="0"/>
      </rPr>
      <t>统战事务</t>
    </r>
  </si>
  <si>
    <r>
      <rPr>
        <sz val="10"/>
        <color indexed="8"/>
        <rFont val="宋体"/>
        <charset val="0"/>
      </rPr>
      <t>　　</t>
    </r>
    <r>
      <rPr>
        <sz val="10"/>
        <color indexed="8"/>
        <rFont val="Calibri"/>
        <charset val="0"/>
      </rPr>
      <t>[2013401]</t>
    </r>
    <r>
      <rPr>
        <sz val="10"/>
        <color indexed="8"/>
        <rFont val="宋体"/>
        <charset val="0"/>
      </rPr>
      <t>行政运行</t>
    </r>
  </si>
  <si>
    <r>
      <rPr>
        <sz val="10"/>
        <color indexed="8"/>
        <rFont val="宋体"/>
        <charset val="0"/>
      </rPr>
      <t>　　</t>
    </r>
    <r>
      <rPr>
        <sz val="10"/>
        <color indexed="8"/>
        <rFont val="Calibri"/>
        <charset val="0"/>
      </rPr>
      <t>[2013402]</t>
    </r>
    <r>
      <rPr>
        <sz val="10"/>
        <color indexed="8"/>
        <rFont val="宋体"/>
        <charset val="0"/>
      </rPr>
      <t>一般行政管理事务</t>
    </r>
  </si>
  <si>
    <r>
      <rPr>
        <sz val="10"/>
        <color indexed="8"/>
        <rFont val="宋体"/>
        <charset val="0"/>
      </rPr>
      <t>　　</t>
    </r>
    <r>
      <rPr>
        <sz val="10"/>
        <color indexed="8"/>
        <rFont val="Calibri"/>
        <charset val="0"/>
      </rPr>
      <t>[2013404]</t>
    </r>
    <r>
      <rPr>
        <sz val="10"/>
        <color indexed="8"/>
        <rFont val="宋体"/>
        <charset val="0"/>
      </rPr>
      <t>宗教事务</t>
    </r>
  </si>
  <si>
    <r>
      <rPr>
        <sz val="10"/>
        <color indexed="8"/>
        <rFont val="宋体"/>
        <charset val="0"/>
      </rPr>
      <t>　　</t>
    </r>
    <r>
      <rPr>
        <sz val="10"/>
        <color indexed="8"/>
        <rFont val="Calibri"/>
        <charset val="0"/>
      </rPr>
      <t>[2013499]</t>
    </r>
    <r>
      <rPr>
        <sz val="10"/>
        <color indexed="8"/>
        <rFont val="宋体"/>
        <charset val="0"/>
      </rPr>
      <t>其他统战事务支出</t>
    </r>
  </si>
  <si>
    <r>
      <rPr>
        <b/>
        <sz val="10"/>
        <color indexed="8"/>
        <rFont val="宋体"/>
        <charset val="0"/>
      </rPr>
      <t>　</t>
    </r>
    <r>
      <rPr>
        <b/>
        <sz val="10"/>
        <color indexed="8"/>
        <rFont val="Calibri"/>
        <charset val="0"/>
      </rPr>
      <t>[20136]</t>
    </r>
    <r>
      <rPr>
        <b/>
        <sz val="10"/>
        <color indexed="8"/>
        <rFont val="宋体"/>
        <charset val="0"/>
      </rPr>
      <t>其他共产党事务支出</t>
    </r>
  </si>
  <si>
    <r>
      <rPr>
        <sz val="10"/>
        <color indexed="8"/>
        <rFont val="宋体"/>
        <charset val="0"/>
      </rPr>
      <t>　　</t>
    </r>
    <r>
      <rPr>
        <sz val="10"/>
        <color indexed="8"/>
        <rFont val="Calibri"/>
        <charset val="0"/>
      </rPr>
      <t>[2013601]</t>
    </r>
    <r>
      <rPr>
        <sz val="10"/>
        <color indexed="8"/>
        <rFont val="宋体"/>
        <charset val="0"/>
      </rPr>
      <t>行政运行</t>
    </r>
  </si>
  <si>
    <r>
      <rPr>
        <sz val="10"/>
        <color rgb="FF000000"/>
        <rFont val="宋体"/>
        <charset val="0"/>
      </rPr>
      <t>　　</t>
    </r>
    <r>
      <rPr>
        <sz val="10"/>
        <color rgb="FF000000"/>
        <rFont val="Calibri"/>
        <charset val="0"/>
      </rPr>
      <t>[2013602]</t>
    </r>
    <r>
      <rPr>
        <sz val="10"/>
        <color rgb="FF000000"/>
        <rFont val="宋体"/>
        <charset val="0"/>
      </rPr>
      <t>一般行政管理事务</t>
    </r>
  </si>
  <si>
    <r>
      <rPr>
        <sz val="10"/>
        <color indexed="8"/>
        <rFont val="宋体"/>
        <charset val="0"/>
      </rPr>
      <t>　　</t>
    </r>
    <r>
      <rPr>
        <sz val="10"/>
        <color indexed="8"/>
        <rFont val="Calibri"/>
        <charset val="0"/>
      </rPr>
      <t>[2013699]</t>
    </r>
    <r>
      <rPr>
        <sz val="10"/>
        <color indexed="8"/>
        <rFont val="宋体"/>
        <charset val="0"/>
      </rPr>
      <t>其他共产党事务支出</t>
    </r>
  </si>
  <si>
    <r>
      <rPr>
        <b/>
        <sz val="10"/>
        <color indexed="8"/>
        <rFont val="宋体"/>
        <charset val="0"/>
      </rPr>
      <t>　</t>
    </r>
    <r>
      <rPr>
        <b/>
        <sz val="10"/>
        <color indexed="8"/>
        <rFont val="Calibri"/>
        <charset val="0"/>
      </rPr>
      <t>[20137]</t>
    </r>
    <r>
      <rPr>
        <b/>
        <sz val="10"/>
        <color indexed="8"/>
        <rFont val="宋体"/>
        <charset val="0"/>
      </rPr>
      <t>网信事务</t>
    </r>
  </si>
  <si>
    <r>
      <rPr>
        <sz val="10"/>
        <color indexed="8"/>
        <rFont val="宋体"/>
        <charset val="0"/>
      </rPr>
      <t>　　</t>
    </r>
    <r>
      <rPr>
        <sz val="10"/>
        <color indexed="8"/>
        <rFont val="Calibri"/>
        <charset val="0"/>
      </rPr>
      <t>[2013701]</t>
    </r>
    <r>
      <rPr>
        <sz val="10"/>
        <color indexed="8"/>
        <rFont val="宋体"/>
        <charset val="0"/>
      </rPr>
      <t>行政运行</t>
    </r>
  </si>
  <si>
    <r>
      <rPr>
        <sz val="10"/>
        <color indexed="8"/>
        <rFont val="宋体"/>
        <charset val="0"/>
      </rPr>
      <t>　　</t>
    </r>
    <r>
      <rPr>
        <sz val="10"/>
        <color indexed="8"/>
        <rFont val="Calibri"/>
        <charset val="0"/>
      </rPr>
      <t>[2013702]</t>
    </r>
    <r>
      <rPr>
        <sz val="10"/>
        <color indexed="8"/>
        <rFont val="宋体"/>
        <charset val="0"/>
      </rPr>
      <t>一般行政管理事务</t>
    </r>
  </si>
  <si>
    <r>
      <rPr>
        <b/>
        <sz val="10"/>
        <color indexed="8"/>
        <rFont val="宋体"/>
        <charset val="0"/>
      </rPr>
      <t>　</t>
    </r>
    <r>
      <rPr>
        <b/>
        <sz val="10"/>
        <color indexed="8"/>
        <rFont val="Calibri"/>
        <charset val="0"/>
      </rPr>
      <t>[20138]</t>
    </r>
    <r>
      <rPr>
        <b/>
        <sz val="10"/>
        <color indexed="8"/>
        <rFont val="宋体"/>
        <charset val="0"/>
      </rPr>
      <t>市场监督管理事务</t>
    </r>
  </si>
  <si>
    <r>
      <rPr>
        <sz val="10"/>
        <color indexed="8"/>
        <rFont val="宋体"/>
        <charset val="0"/>
      </rPr>
      <t>　　</t>
    </r>
    <r>
      <rPr>
        <sz val="10"/>
        <color indexed="8"/>
        <rFont val="Calibri"/>
        <charset val="0"/>
      </rPr>
      <t>[2013801]</t>
    </r>
    <r>
      <rPr>
        <sz val="10"/>
        <color indexed="8"/>
        <rFont val="宋体"/>
        <charset val="0"/>
      </rPr>
      <t>行政运行</t>
    </r>
  </si>
  <si>
    <r>
      <rPr>
        <sz val="10"/>
        <color indexed="8"/>
        <rFont val="宋体"/>
        <charset val="0"/>
      </rPr>
      <t>　　</t>
    </r>
    <r>
      <rPr>
        <sz val="10"/>
        <color indexed="8"/>
        <rFont val="Calibri"/>
        <charset val="0"/>
      </rPr>
      <t>[2013802]</t>
    </r>
    <r>
      <rPr>
        <sz val="10"/>
        <color indexed="8"/>
        <rFont val="宋体"/>
        <charset val="0"/>
      </rPr>
      <t>一般行政管理事务</t>
    </r>
  </si>
  <si>
    <r>
      <rPr>
        <sz val="10"/>
        <color rgb="FF000000"/>
        <rFont val="宋体"/>
        <charset val="0"/>
      </rPr>
      <t>　　</t>
    </r>
    <r>
      <rPr>
        <sz val="10"/>
        <color rgb="FF000000"/>
        <rFont val="Calibri"/>
        <charset val="0"/>
      </rPr>
      <t>[2013812]</t>
    </r>
    <r>
      <rPr>
        <sz val="10"/>
        <color rgb="FF000000"/>
        <rFont val="宋体"/>
        <charset val="0"/>
      </rPr>
      <t>药品事务</t>
    </r>
  </si>
  <si>
    <r>
      <rPr>
        <sz val="10"/>
        <color indexed="8"/>
        <rFont val="宋体"/>
        <charset val="0"/>
      </rPr>
      <t>　　</t>
    </r>
    <r>
      <rPr>
        <sz val="10"/>
        <color indexed="8"/>
        <rFont val="Calibri"/>
        <charset val="0"/>
      </rPr>
      <t>[2013816]</t>
    </r>
    <r>
      <rPr>
        <sz val="10"/>
        <color indexed="8"/>
        <rFont val="宋体"/>
        <charset val="0"/>
      </rPr>
      <t>食品安全监管</t>
    </r>
  </si>
  <si>
    <r>
      <rPr>
        <sz val="10"/>
        <color rgb="FF000000"/>
        <rFont val="宋体"/>
        <charset val="0"/>
      </rPr>
      <t>　　</t>
    </r>
    <r>
      <rPr>
        <sz val="10"/>
        <color rgb="FF000000"/>
        <rFont val="Calibri"/>
        <charset val="0"/>
      </rPr>
      <t>[2013899]</t>
    </r>
    <r>
      <rPr>
        <sz val="10"/>
        <color rgb="FF000000"/>
        <rFont val="宋体"/>
        <charset val="0"/>
      </rPr>
      <t>其他市场监督管理事务</t>
    </r>
  </si>
  <si>
    <r>
      <rPr>
        <b/>
        <sz val="10"/>
        <color rgb="FF000000"/>
        <rFont val="Calibri"/>
        <charset val="0"/>
      </rPr>
      <t>[203]</t>
    </r>
    <r>
      <rPr>
        <b/>
        <sz val="10"/>
        <color rgb="FF000000"/>
        <rFont val="宋体"/>
        <charset val="0"/>
      </rPr>
      <t>国防支出</t>
    </r>
  </si>
  <si>
    <r>
      <rPr>
        <b/>
        <sz val="10"/>
        <color rgb="FF000000"/>
        <rFont val="宋体"/>
        <charset val="0"/>
      </rPr>
      <t>　</t>
    </r>
    <r>
      <rPr>
        <b/>
        <sz val="10"/>
        <color rgb="FF000000"/>
        <rFont val="Calibri"/>
        <charset val="0"/>
      </rPr>
      <t>[20306]</t>
    </r>
    <r>
      <rPr>
        <b/>
        <sz val="10"/>
        <color rgb="FF000000"/>
        <rFont val="宋体"/>
        <charset val="0"/>
      </rPr>
      <t>国防动员</t>
    </r>
  </si>
  <si>
    <r>
      <rPr>
        <sz val="10"/>
        <color rgb="FF000000"/>
        <rFont val="宋体"/>
        <charset val="0"/>
      </rPr>
      <t>　　</t>
    </r>
    <r>
      <rPr>
        <sz val="10"/>
        <color rgb="FF000000"/>
        <rFont val="Calibri"/>
        <charset val="0"/>
      </rPr>
      <t>[2030601]</t>
    </r>
    <r>
      <rPr>
        <sz val="10"/>
        <color rgb="FF000000"/>
        <rFont val="宋体"/>
        <charset val="0"/>
      </rPr>
      <t>兵役征集</t>
    </r>
  </si>
  <si>
    <r>
      <rPr>
        <b/>
        <sz val="10"/>
        <color indexed="8"/>
        <rFont val="Calibri"/>
        <charset val="0"/>
      </rPr>
      <t>[204]</t>
    </r>
    <r>
      <rPr>
        <b/>
        <sz val="10"/>
        <color indexed="8"/>
        <rFont val="宋体"/>
        <charset val="0"/>
      </rPr>
      <t>公共安全支出</t>
    </r>
  </si>
  <si>
    <r>
      <rPr>
        <b/>
        <sz val="10"/>
        <color indexed="8"/>
        <rFont val="宋体"/>
        <charset val="0"/>
      </rPr>
      <t>　</t>
    </r>
    <r>
      <rPr>
        <b/>
        <sz val="10"/>
        <color indexed="8"/>
        <rFont val="Calibri"/>
        <charset val="0"/>
      </rPr>
      <t>[20402]</t>
    </r>
    <r>
      <rPr>
        <b/>
        <sz val="10"/>
        <color indexed="8"/>
        <rFont val="宋体"/>
        <charset val="0"/>
      </rPr>
      <t>公安</t>
    </r>
  </si>
  <si>
    <r>
      <rPr>
        <sz val="10"/>
        <color indexed="8"/>
        <rFont val="宋体"/>
        <charset val="0"/>
      </rPr>
      <t>　　</t>
    </r>
    <r>
      <rPr>
        <sz val="10"/>
        <color indexed="8"/>
        <rFont val="Calibri"/>
        <charset val="0"/>
      </rPr>
      <t>[2040299]</t>
    </r>
    <r>
      <rPr>
        <sz val="10"/>
        <color indexed="8"/>
        <rFont val="宋体"/>
        <charset val="0"/>
      </rPr>
      <t>其他公安支出</t>
    </r>
  </si>
  <si>
    <r>
      <rPr>
        <b/>
        <sz val="10"/>
        <color indexed="8"/>
        <rFont val="宋体"/>
        <charset val="0"/>
      </rPr>
      <t>　</t>
    </r>
    <r>
      <rPr>
        <b/>
        <sz val="10"/>
        <color indexed="8"/>
        <rFont val="Calibri"/>
        <charset val="0"/>
      </rPr>
      <t>[20404]</t>
    </r>
    <r>
      <rPr>
        <b/>
        <sz val="10"/>
        <color indexed="8"/>
        <rFont val="宋体"/>
        <charset val="0"/>
      </rPr>
      <t>检察</t>
    </r>
  </si>
  <si>
    <r>
      <rPr>
        <sz val="10"/>
        <color indexed="8"/>
        <rFont val="宋体"/>
        <charset val="0"/>
      </rPr>
      <t>　　</t>
    </r>
    <r>
      <rPr>
        <sz val="10"/>
        <color indexed="8"/>
        <rFont val="Calibri"/>
        <charset val="0"/>
      </rPr>
      <t>[2040499]</t>
    </r>
    <r>
      <rPr>
        <sz val="10"/>
        <color indexed="8"/>
        <rFont val="宋体"/>
        <charset val="0"/>
      </rPr>
      <t>其他检察支出</t>
    </r>
  </si>
  <si>
    <r>
      <rPr>
        <b/>
        <sz val="10"/>
        <color indexed="8"/>
        <rFont val="宋体"/>
        <charset val="0"/>
      </rPr>
      <t>　</t>
    </r>
    <r>
      <rPr>
        <b/>
        <sz val="10"/>
        <color indexed="8"/>
        <rFont val="Calibri"/>
        <charset val="0"/>
      </rPr>
      <t>[20405]</t>
    </r>
    <r>
      <rPr>
        <b/>
        <sz val="10"/>
        <color indexed="8"/>
        <rFont val="宋体"/>
        <charset val="0"/>
      </rPr>
      <t>法院</t>
    </r>
  </si>
  <si>
    <r>
      <rPr>
        <sz val="10"/>
        <color indexed="8"/>
        <rFont val="宋体"/>
        <charset val="0"/>
      </rPr>
      <t>　　</t>
    </r>
    <r>
      <rPr>
        <sz val="10"/>
        <color indexed="8"/>
        <rFont val="Calibri"/>
        <charset val="0"/>
      </rPr>
      <t>[2040599]</t>
    </r>
    <r>
      <rPr>
        <sz val="10"/>
        <color indexed="8"/>
        <rFont val="宋体"/>
        <charset val="0"/>
      </rPr>
      <t>其他法院支出</t>
    </r>
  </si>
  <si>
    <r>
      <rPr>
        <b/>
        <sz val="10"/>
        <color indexed="8"/>
        <rFont val="宋体"/>
        <charset val="0"/>
      </rPr>
      <t>　</t>
    </r>
    <r>
      <rPr>
        <b/>
        <sz val="10"/>
        <color indexed="8"/>
        <rFont val="Calibri"/>
        <charset val="0"/>
      </rPr>
      <t>[20406]</t>
    </r>
    <r>
      <rPr>
        <b/>
        <sz val="10"/>
        <color indexed="8"/>
        <rFont val="宋体"/>
        <charset val="0"/>
      </rPr>
      <t>司法</t>
    </r>
  </si>
  <si>
    <r>
      <rPr>
        <sz val="10"/>
        <color indexed="8"/>
        <rFont val="宋体"/>
        <charset val="0"/>
      </rPr>
      <t>　　</t>
    </r>
    <r>
      <rPr>
        <sz val="10"/>
        <color indexed="8"/>
        <rFont val="Calibri"/>
        <charset val="0"/>
      </rPr>
      <t>[2040601]</t>
    </r>
    <r>
      <rPr>
        <sz val="10"/>
        <color indexed="8"/>
        <rFont val="宋体"/>
        <charset val="0"/>
      </rPr>
      <t>行政运行</t>
    </r>
  </si>
  <si>
    <r>
      <rPr>
        <sz val="10"/>
        <color rgb="FF000000"/>
        <rFont val="宋体"/>
        <charset val="0"/>
      </rPr>
      <t>　　</t>
    </r>
    <r>
      <rPr>
        <sz val="10"/>
        <color rgb="FF000000"/>
        <rFont val="Calibri"/>
        <charset val="0"/>
      </rPr>
      <t>[2040607]</t>
    </r>
    <r>
      <rPr>
        <sz val="10"/>
        <color rgb="FF000000"/>
        <rFont val="宋体"/>
        <charset val="0"/>
      </rPr>
      <t>公共法律服务</t>
    </r>
  </si>
  <si>
    <r>
      <rPr>
        <sz val="10"/>
        <color indexed="8"/>
        <rFont val="宋体"/>
        <charset val="0"/>
      </rPr>
      <t>　　</t>
    </r>
    <r>
      <rPr>
        <sz val="10"/>
        <color indexed="8"/>
        <rFont val="Calibri"/>
        <charset val="0"/>
      </rPr>
      <t>[2040699]</t>
    </r>
    <r>
      <rPr>
        <sz val="10"/>
        <color indexed="8"/>
        <rFont val="宋体"/>
        <charset val="0"/>
      </rPr>
      <t>其他司法支出</t>
    </r>
  </si>
  <si>
    <r>
      <rPr>
        <b/>
        <sz val="10"/>
        <color indexed="8"/>
        <rFont val="Calibri"/>
        <charset val="0"/>
      </rPr>
      <t>[205]</t>
    </r>
    <r>
      <rPr>
        <b/>
        <sz val="10"/>
        <color indexed="8"/>
        <rFont val="宋体"/>
        <charset val="0"/>
      </rPr>
      <t>教育支出</t>
    </r>
  </si>
  <si>
    <r>
      <rPr>
        <b/>
        <sz val="10"/>
        <color indexed="8"/>
        <rFont val="宋体"/>
        <charset val="0"/>
      </rPr>
      <t>　</t>
    </r>
    <r>
      <rPr>
        <b/>
        <sz val="10"/>
        <color indexed="8"/>
        <rFont val="Calibri"/>
        <charset val="0"/>
      </rPr>
      <t>[20501]</t>
    </r>
    <r>
      <rPr>
        <b/>
        <sz val="10"/>
        <color indexed="8"/>
        <rFont val="宋体"/>
        <charset val="0"/>
      </rPr>
      <t>教育管理事务</t>
    </r>
  </si>
  <si>
    <r>
      <rPr>
        <sz val="10"/>
        <color indexed="8"/>
        <rFont val="宋体"/>
        <charset val="0"/>
      </rPr>
      <t>　　</t>
    </r>
    <r>
      <rPr>
        <sz val="10"/>
        <color indexed="8"/>
        <rFont val="Calibri"/>
        <charset val="0"/>
      </rPr>
      <t>[2050101]</t>
    </r>
    <r>
      <rPr>
        <sz val="10"/>
        <color indexed="8"/>
        <rFont val="宋体"/>
        <charset val="0"/>
      </rPr>
      <t>行政运行</t>
    </r>
  </si>
  <si>
    <r>
      <rPr>
        <sz val="10"/>
        <color indexed="8"/>
        <rFont val="宋体"/>
        <charset val="0"/>
      </rPr>
      <t>　　</t>
    </r>
    <r>
      <rPr>
        <sz val="10"/>
        <color indexed="8"/>
        <rFont val="Calibri"/>
        <charset val="0"/>
      </rPr>
      <t>[2050102]</t>
    </r>
    <r>
      <rPr>
        <sz val="10"/>
        <color indexed="8"/>
        <rFont val="宋体"/>
        <charset val="0"/>
      </rPr>
      <t>一般行政管理事务</t>
    </r>
  </si>
  <si>
    <r>
      <rPr>
        <b/>
        <sz val="10"/>
        <color indexed="8"/>
        <rFont val="宋体"/>
        <charset val="0"/>
      </rPr>
      <t>　</t>
    </r>
    <r>
      <rPr>
        <b/>
        <sz val="10"/>
        <color indexed="8"/>
        <rFont val="Calibri"/>
        <charset val="0"/>
      </rPr>
      <t>[20502]</t>
    </r>
    <r>
      <rPr>
        <b/>
        <sz val="10"/>
        <color indexed="8"/>
        <rFont val="宋体"/>
        <charset val="0"/>
      </rPr>
      <t>普通教育</t>
    </r>
  </si>
  <si>
    <r>
      <rPr>
        <sz val="10"/>
        <color indexed="8"/>
        <rFont val="宋体"/>
        <charset val="0"/>
      </rPr>
      <t>　　</t>
    </r>
    <r>
      <rPr>
        <sz val="10"/>
        <color indexed="8"/>
        <rFont val="Calibri"/>
        <charset val="0"/>
      </rPr>
      <t>[2050201]</t>
    </r>
    <r>
      <rPr>
        <sz val="10"/>
        <color indexed="8"/>
        <rFont val="宋体"/>
        <charset val="0"/>
      </rPr>
      <t>学前教育</t>
    </r>
  </si>
  <si>
    <r>
      <rPr>
        <sz val="10"/>
        <color indexed="8"/>
        <rFont val="宋体"/>
        <charset val="0"/>
      </rPr>
      <t>　　</t>
    </r>
    <r>
      <rPr>
        <sz val="10"/>
        <color indexed="8"/>
        <rFont val="Calibri"/>
        <charset val="0"/>
      </rPr>
      <t>[2050202]</t>
    </r>
    <r>
      <rPr>
        <sz val="10"/>
        <color indexed="8"/>
        <rFont val="宋体"/>
        <charset val="0"/>
      </rPr>
      <t>小学教育</t>
    </r>
  </si>
  <si>
    <r>
      <rPr>
        <sz val="10"/>
        <color indexed="8"/>
        <rFont val="宋体"/>
        <charset val="0"/>
      </rPr>
      <t>　　</t>
    </r>
    <r>
      <rPr>
        <sz val="10"/>
        <color indexed="8"/>
        <rFont val="Calibri"/>
        <charset val="0"/>
      </rPr>
      <t>[2050203]</t>
    </r>
    <r>
      <rPr>
        <sz val="10"/>
        <color indexed="8"/>
        <rFont val="宋体"/>
        <charset val="0"/>
      </rPr>
      <t>初中教育</t>
    </r>
  </si>
  <si>
    <r>
      <rPr>
        <b/>
        <sz val="10"/>
        <color indexed="8"/>
        <rFont val="宋体"/>
        <charset val="0"/>
      </rPr>
      <t>　</t>
    </r>
    <r>
      <rPr>
        <b/>
        <sz val="10"/>
        <color indexed="8"/>
        <rFont val="Calibri"/>
        <charset val="0"/>
      </rPr>
      <t>[20503]</t>
    </r>
    <r>
      <rPr>
        <b/>
        <sz val="10"/>
        <color indexed="8"/>
        <rFont val="宋体"/>
        <charset val="0"/>
      </rPr>
      <t>职业教育</t>
    </r>
  </si>
  <si>
    <r>
      <rPr>
        <sz val="10"/>
        <color indexed="8"/>
        <rFont val="宋体"/>
        <charset val="0"/>
      </rPr>
      <t>　　</t>
    </r>
    <r>
      <rPr>
        <sz val="10"/>
        <color indexed="8"/>
        <rFont val="Calibri"/>
        <charset val="0"/>
      </rPr>
      <t>[2050399]</t>
    </r>
    <r>
      <rPr>
        <sz val="10"/>
        <color indexed="8"/>
        <rFont val="宋体"/>
        <charset val="0"/>
      </rPr>
      <t>其他职业教育支出</t>
    </r>
  </si>
  <si>
    <r>
      <rPr>
        <b/>
        <sz val="10"/>
        <color indexed="8"/>
        <rFont val="Calibri"/>
        <charset val="0"/>
      </rPr>
      <t>[206]</t>
    </r>
    <r>
      <rPr>
        <b/>
        <sz val="10"/>
        <color indexed="8"/>
        <rFont val="宋体"/>
        <charset val="0"/>
      </rPr>
      <t>科学技术支出</t>
    </r>
  </si>
  <si>
    <r>
      <rPr>
        <b/>
        <sz val="10"/>
        <color indexed="8"/>
        <rFont val="宋体"/>
        <charset val="0"/>
      </rPr>
      <t>　</t>
    </r>
    <r>
      <rPr>
        <b/>
        <sz val="10"/>
        <color indexed="8"/>
        <rFont val="Calibri"/>
        <charset val="0"/>
      </rPr>
      <t>[20601]</t>
    </r>
    <r>
      <rPr>
        <b/>
        <sz val="10"/>
        <color indexed="8"/>
        <rFont val="宋体"/>
        <charset val="0"/>
      </rPr>
      <t>科学技术管理事务</t>
    </r>
  </si>
  <si>
    <r>
      <rPr>
        <sz val="10"/>
        <color indexed="8"/>
        <rFont val="宋体"/>
        <charset val="0"/>
      </rPr>
      <t>　　</t>
    </r>
    <r>
      <rPr>
        <sz val="10"/>
        <color indexed="8"/>
        <rFont val="Calibri"/>
        <charset val="0"/>
      </rPr>
      <t>[2060101]</t>
    </r>
    <r>
      <rPr>
        <sz val="10"/>
        <color indexed="8"/>
        <rFont val="宋体"/>
        <charset val="0"/>
      </rPr>
      <t>行政运行</t>
    </r>
  </si>
  <si>
    <r>
      <rPr>
        <sz val="10"/>
        <color indexed="8"/>
        <rFont val="宋体"/>
        <charset val="0"/>
      </rPr>
      <t>　　</t>
    </r>
    <r>
      <rPr>
        <sz val="10"/>
        <color indexed="8"/>
        <rFont val="Calibri"/>
        <charset val="0"/>
      </rPr>
      <t>[2060102]</t>
    </r>
    <r>
      <rPr>
        <sz val="10"/>
        <color indexed="8"/>
        <rFont val="宋体"/>
        <charset val="0"/>
      </rPr>
      <t>一般行政管理事务</t>
    </r>
  </si>
  <si>
    <r>
      <rPr>
        <b/>
        <sz val="10"/>
        <color indexed="8"/>
        <rFont val="宋体"/>
        <charset val="0"/>
      </rPr>
      <t>　</t>
    </r>
    <r>
      <rPr>
        <b/>
        <sz val="10"/>
        <color indexed="8"/>
        <rFont val="Calibri"/>
        <charset val="0"/>
      </rPr>
      <t>[20607]</t>
    </r>
    <r>
      <rPr>
        <b/>
        <sz val="10"/>
        <color indexed="8"/>
        <rFont val="宋体"/>
        <charset val="0"/>
      </rPr>
      <t>科学技术普及</t>
    </r>
  </si>
  <si>
    <r>
      <rPr>
        <sz val="10"/>
        <color indexed="8"/>
        <rFont val="宋体"/>
        <charset val="0"/>
      </rPr>
      <t>　　</t>
    </r>
    <r>
      <rPr>
        <sz val="10"/>
        <color indexed="8"/>
        <rFont val="Calibri"/>
        <charset val="0"/>
      </rPr>
      <t>[2060799]</t>
    </r>
    <r>
      <rPr>
        <sz val="10"/>
        <color indexed="8"/>
        <rFont val="宋体"/>
        <charset val="0"/>
      </rPr>
      <t>其他科学技术普及支出</t>
    </r>
  </si>
  <si>
    <r>
      <rPr>
        <b/>
        <sz val="10"/>
        <color indexed="8"/>
        <rFont val="宋体"/>
        <charset val="0"/>
      </rPr>
      <t>　</t>
    </r>
    <r>
      <rPr>
        <b/>
        <sz val="10"/>
        <color indexed="8"/>
        <rFont val="Calibri"/>
        <charset val="0"/>
      </rPr>
      <t>[20699]</t>
    </r>
    <r>
      <rPr>
        <b/>
        <sz val="10"/>
        <color indexed="8"/>
        <rFont val="宋体"/>
        <charset val="0"/>
      </rPr>
      <t>其他科学技术支出</t>
    </r>
  </si>
  <si>
    <r>
      <rPr>
        <sz val="10"/>
        <color indexed="8"/>
        <rFont val="宋体"/>
        <charset val="0"/>
      </rPr>
      <t>　　</t>
    </r>
    <r>
      <rPr>
        <sz val="10"/>
        <color indexed="8"/>
        <rFont val="Calibri"/>
        <charset val="0"/>
      </rPr>
      <t>[2069901]</t>
    </r>
    <r>
      <rPr>
        <sz val="10"/>
        <color indexed="8"/>
        <rFont val="宋体"/>
        <charset val="0"/>
      </rPr>
      <t>科技奖励</t>
    </r>
  </si>
  <si>
    <r>
      <rPr>
        <sz val="10"/>
        <color indexed="8"/>
        <rFont val="宋体"/>
        <charset val="0"/>
      </rPr>
      <t>　　</t>
    </r>
    <r>
      <rPr>
        <sz val="10"/>
        <color indexed="8"/>
        <rFont val="Calibri"/>
        <charset val="0"/>
      </rPr>
      <t>[2069999]</t>
    </r>
    <r>
      <rPr>
        <sz val="10"/>
        <color indexed="8"/>
        <rFont val="宋体"/>
        <charset val="0"/>
      </rPr>
      <t>其他科学技术支出</t>
    </r>
  </si>
  <si>
    <r>
      <rPr>
        <b/>
        <sz val="10"/>
        <color indexed="8"/>
        <rFont val="Calibri"/>
        <charset val="0"/>
      </rPr>
      <t>[207]</t>
    </r>
    <r>
      <rPr>
        <b/>
        <sz val="10"/>
        <color indexed="8"/>
        <rFont val="宋体"/>
        <charset val="0"/>
      </rPr>
      <t>文化旅游体育与传媒支出</t>
    </r>
  </si>
  <si>
    <r>
      <rPr>
        <b/>
        <sz val="10"/>
        <color indexed="8"/>
        <rFont val="宋体"/>
        <charset val="0"/>
      </rPr>
      <t>　</t>
    </r>
    <r>
      <rPr>
        <b/>
        <sz val="10"/>
        <color indexed="8"/>
        <rFont val="Calibri"/>
        <charset val="0"/>
      </rPr>
      <t>[20701]</t>
    </r>
    <r>
      <rPr>
        <b/>
        <sz val="10"/>
        <color indexed="8"/>
        <rFont val="宋体"/>
        <charset val="0"/>
      </rPr>
      <t>文化和旅游</t>
    </r>
  </si>
  <si>
    <r>
      <rPr>
        <sz val="10"/>
        <color indexed="8"/>
        <rFont val="宋体"/>
        <charset val="0"/>
      </rPr>
      <t>　　</t>
    </r>
    <r>
      <rPr>
        <sz val="10"/>
        <color indexed="8"/>
        <rFont val="Calibri"/>
        <charset val="0"/>
      </rPr>
      <t>[2070101]</t>
    </r>
    <r>
      <rPr>
        <sz val="10"/>
        <color indexed="8"/>
        <rFont val="宋体"/>
        <charset val="0"/>
      </rPr>
      <t>行政运行</t>
    </r>
  </si>
  <si>
    <r>
      <rPr>
        <sz val="10"/>
        <color rgb="FF000000"/>
        <rFont val="宋体"/>
        <charset val="0"/>
      </rPr>
      <t>　　</t>
    </r>
    <r>
      <rPr>
        <sz val="10"/>
        <color rgb="FF000000"/>
        <rFont val="Calibri"/>
        <charset val="0"/>
      </rPr>
      <t>[2070102]</t>
    </r>
    <r>
      <rPr>
        <sz val="10"/>
        <color rgb="FF000000"/>
        <rFont val="宋体"/>
        <charset val="0"/>
      </rPr>
      <t>一般行政管理事务</t>
    </r>
  </si>
  <si>
    <r>
      <rPr>
        <sz val="10"/>
        <color indexed="8"/>
        <rFont val="宋体"/>
        <charset val="0"/>
      </rPr>
      <t>　　</t>
    </r>
    <r>
      <rPr>
        <sz val="10"/>
        <color indexed="8"/>
        <rFont val="Calibri"/>
        <charset val="0"/>
      </rPr>
      <t>[2070109]</t>
    </r>
    <r>
      <rPr>
        <sz val="10"/>
        <color indexed="8"/>
        <rFont val="宋体"/>
        <charset val="0"/>
      </rPr>
      <t>群众文化</t>
    </r>
  </si>
  <si>
    <r>
      <rPr>
        <sz val="10"/>
        <color indexed="8"/>
        <rFont val="宋体"/>
        <charset val="0"/>
      </rPr>
      <t>　　</t>
    </r>
    <r>
      <rPr>
        <sz val="10"/>
        <color indexed="8"/>
        <rFont val="Calibri"/>
        <charset val="0"/>
      </rPr>
      <t>[2070199]</t>
    </r>
    <r>
      <rPr>
        <sz val="10"/>
        <color indexed="8"/>
        <rFont val="宋体"/>
        <charset val="0"/>
      </rPr>
      <t>其他文化和旅游支出</t>
    </r>
  </si>
  <si>
    <r>
      <rPr>
        <b/>
        <sz val="10"/>
        <color indexed="8"/>
        <rFont val="宋体"/>
        <charset val="0"/>
      </rPr>
      <t>　</t>
    </r>
    <r>
      <rPr>
        <b/>
        <sz val="10"/>
        <color indexed="8"/>
        <rFont val="Calibri"/>
        <charset val="0"/>
      </rPr>
      <t>[20708]</t>
    </r>
    <r>
      <rPr>
        <b/>
        <sz val="10"/>
        <color indexed="8"/>
        <rFont val="宋体"/>
        <charset val="0"/>
      </rPr>
      <t>广播电视</t>
    </r>
  </si>
  <si>
    <r>
      <rPr>
        <sz val="10"/>
        <color rgb="FF000000"/>
        <rFont val="宋体"/>
        <charset val="0"/>
      </rPr>
      <t>　　</t>
    </r>
    <r>
      <rPr>
        <sz val="10"/>
        <color rgb="FF000000"/>
        <rFont val="Calibri"/>
        <charset val="0"/>
      </rPr>
      <t>[2070801]</t>
    </r>
    <r>
      <rPr>
        <sz val="10"/>
        <color rgb="FF000000"/>
        <rFont val="宋体"/>
        <charset val="0"/>
      </rPr>
      <t>行政运行</t>
    </r>
  </si>
  <si>
    <r>
      <rPr>
        <sz val="10"/>
        <color rgb="FF000000"/>
        <rFont val="宋体"/>
        <charset val="0"/>
      </rPr>
      <t>　　</t>
    </r>
    <r>
      <rPr>
        <sz val="10"/>
        <color rgb="FF000000"/>
        <rFont val="Calibri"/>
        <charset val="0"/>
      </rPr>
      <t>[2070808]</t>
    </r>
    <r>
      <rPr>
        <sz val="10"/>
        <color rgb="FF000000"/>
        <rFont val="宋体"/>
        <charset val="0"/>
      </rPr>
      <t>广播电视事务</t>
    </r>
  </si>
  <si>
    <r>
      <rPr>
        <sz val="10"/>
        <color indexed="8"/>
        <rFont val="宋体"/>
        <charset val="0"/>
      </rPr>
      <t>　　</t>
    </r>
    <r>
      <rPr>
        <sz val="10"/>
        <color indexed="8"/>
        <rFont val="Calibri"/>
        <charset val="0"/>
      </rPr>
      <t>[2070899]</t>
    </r>
    <r>
      <rPr>
        <sz val="10"/>
        <color indexed="8"/>
        <rFont val="宋体"/>
        <charset val="0"/>
      </rPr>
      <t>其他广播电视支出</t>
    </r>
  </si>
  <si>
    <r>
      <rPr>
        <b/>
        <sz val="10"/>
        <color indexed="8"/>
        <rFont val="宋体"/>
        <charset val="0"/>
      </rPr>
      <t>　</t>
    </r>
    <r>
      <rPr>
        <b/>
        <sz val="10"/>
        <color indexed="8"/>
        <rFont val="Calibri"/>
        <charset val="0"/>
      </rPr>
      <t>[20799]</t>
    </r>
    <r>
      <rPr>
        <b/>
        <sz val="10"/>
        <color indexed="8"/>
        <rFont val="宋体"/>
        <charset val="0"/>
      </rPr>
      <t>其他文化旅游体育与传媒支出</t>
    </r>
  </si>
  <si>
    <r>
      <rPr>
        <sz val="10"/>
        <color indexed="8"/>
        <rFont val="宋体"/>
        <charset val="0"/>
      </rPr>
      <t>　　</t>
    </r>
    <r>
      <rPr>
        <sz val="10"/>
        <color indexed="8"/>
        <rFont val="Calibri"/>
        <charset val="0"/>
      </rPr>
      <t>[2079999]</t>
    </r>
    <r>
      <rPr>
        <sz val="10"/>
        <color indexed="8"/>
        <rFont val="宋体"/>
        <charset val="0"/>
      </rPr>
      <t>其他文化旅游体育与传媒支出</t>
    </r>
  </si>
  <si>
    <r>
      <rPr>
        <b/>
        <sz val="10"/>
        <color indexed="8"/>
        <rFont val="Calibri"/>
        <charset val="0"/>
      </rPr>
      <t>[208]</t>
    </r>
    <r>
      <rPr>
        <b/>
        <sz val="10"/>
        <color indexed="8"/>
        <rFont val="宋体"/>
        <charset val="0"/>
      </rPr>
      <t>社会保障和就业支出</t>
    </r>
  </si>
  <si>
    <r>
      <rPr>
        <b/>
        <sz val="10"/>
        <color indexed="8"/>
        <rFont val="宋体"/>
        <charset val="0"/>
      </rPr>
      <t>　</t>
    </r>
    <r>
      <rPr>
        <b/>
        <sz val="10"/>
        <color indexed="8"/>
        <rFont val="Calibri"/>
        <charset val="0"/>
      </rPr>
      <t>[20801]</t>
    </r>
    <r>
      <rPr>
        <b/>
        <sz val="10"/>
        <color indexed="8"/>
        <rFont val="宋体"/>
        <charset val="0"/>
      </rPr>
      <t>人力资源和社会保障管理事务</t>
    </r>
  </si>
  <si>
    <r>
      <rPr>
        <sz val="10"/>
        <color indexed="8"/>
        <rFont val="宋体"/>
        <charset val="0"/>
      </rPr>
      <t>　　</t>
    </r>
    <r>
      <rPr>
        <sz val="10"/>
        <color indexed="8"/>
        <rFont val="Calibri"/>
        <charset val="0"/>
      </rPr>
      <t>[2080101]</t>
    </r>
    <r>
      <rPr>
        <sz val="10"/>
        <color indexed="8"/>
        <rFont val="宋体"/>
        <charset val="0"/>
      </rPr>
      <t>行政运行</t>
    </r>
  </si>
  <si>
    <r>
      <rPr>
        <sz val="10"/>
        <color indexed="8"/>
        <rFont val="宋体"/>
        <charset val="0"/>
      </rPr>
      <t>　　</t>
    </r>
    <r>
      <rPr>
        <sz val="10"/>
        <color indexed="8"/>
        <rFont val="Calibri"/>
        <charset val="0"/>
      </rPr>
      <t>[2080102]</t>
    </r>
    <r>
      <rPr>
        <sz val="10"/>
        <color indexed="8"/>
        <rFont val="宋体"/>
        <charset val="0"/>
      </rPr>
      <t>一般行政管理事务</t>
    </r>
  </si>
  <si>
    <r>
      <rPr>
        <sz val="10"/>
        <color indexed="8"/>
        <rFont val="宋体"/>
        <charset val="0"/>
      </rPr>
      <t>　　</t>
    </r>
    <r>
      <rPr>
        <sz val="10"/>
        <color indexed="8"/>
        <rFont val="Calibri"/>
        <charset val="0"/>
      </rPr>
      <t>[2080150]</t>
    </r>
    <r>
      <rPr>
        <sz val="10"/>
        <color indexed="8"/>
        <rFont val="宋体"/>
        <charset val="0"/>
      </rPr>
      <t>事业运行</t>
    </r>
  </si>
  <si>
    <r>
      <rPr>
        <sz val="10"/>
        <color indexed="8"/>
        <rFont val="宋体"/>
        <charset val="0"/>
      </rPr>
      <t>　　</t>
    </r>
    <r>
      <rPr>
        <sz val="10"/>
        <color indexed="8"/>
        <rFont val="Calibri"/>
        <charset val="0"/>
      </rPr>
      <t>[2080199]</t>
    </r>
    <r>
      <rPr>
        <sz val="10"/>
        <color indexed="8"/>
        <rFont val="宋体"/>
        <charset val="0"/>
      </rPr>
      <t>其他人力资源和社会保障管理事务支出</t>
    </r>
  </si>
  <si>
    <r>
      <rPr>
        <b/>
        <sz val="10"/>
        <color indexed="8"/>
        <rFont val="宋体"/>
        <charset val="0"/>
      </rPr>
      <t>　</t>
    </r>
    <r>
      <rPr>
        <b/>
        <sz val="10"/>
        <color indexed="8"/>
        <rFont val="Calibri"/>
        <charset val="0"/>
      </rPr>
      <t>[20802]</t>
    </r>
    <r>
      <rPr>
        <b/>
        <sz val="10"/>
        <color indexed="8"/>
        <rFont val="宋体"/>
        <charset val="0"/>
      </rPr>
      <t>民政管理事务</t>
    </r>
  </si>
  <si>
    <r>
      <rPr>
        <sz val="10"/>
        <color indexed="8"/>
        <rFont val="宋体"/>
        <charset val="0"/>
      </rPr>
      <t>　　</t>
    </r>
    <r>
      <rPr>
        <sz val="10"/>
        <color indexed="8"/>
        <rFont val="Calibri"/>
        <charset val="0"/>
      </rPr>
      <t>[2080201]</t>
    </r>
    <r>
      <rPr>
        <sz val="10"/>
        <color indexed="8"/>
        <rFont val="宋体"/>
        <charset val="0"/>
      </rPr>
      <t>行政运行</t>
    </r>
  </si>
  <si>
    <r>
      <rPr>
        <sz val="10"/>
        <color indexed="8"/>
        <rFont val="宋体"/>
        <charset val="0"/>
      </rPr>
      <t>　　</t>
    </r>
    <r>
      <rPr>
        <sz val="10"/>
        <color indexed="8"/>
        <rFont val="Calibri"/>
        <charset val="0"/>
      </rPr>
      <t>[2080202]</t>
    </r>
    <r>
      <rPr>
        <sz val="10"/>
        <color indexed="8"/>
        <rFont val="宋体"/>
        <charset val="0"/>
      </rPr>
      <t>一般行政管理事务</t>
    </r>
  </si>
  <si>
    <r>
      <rPr>
        <sz val="10"/>
        <color indexed="8"/>
        <rFont val="宋体"/>
        <charset val="0"/>
      </rPr>
      <t>　　</t>
    </r>
    <r>
      <rPr>
        <sz val="10"/>
        <color indexed="8"/>
        <rFont val="Calibri"/>
        <charset val="0"/>
      </rPr>
      <t>[2080208]</t>
    </r>
    <r>
      <rPr>
        <sz val="10"/>
        <color indexed="8"/>
        <rFont val="宋体"/>
        <charset val="0"/>
      </rPr>
      <t>基层政权建设和社区治理</t>
    </r>
  </si>
  <si>
    <r>
      <rPr>
        <b/>
        <sz val="10"/>
        <color indexed="8"/>
        <rFont val="宋体"/>
        <charset val="0"/>
      </rPr>
      <t>　</t>
    </r>
    <r>
      <rPr>
        <b/>
        <sz val="10"/>
        <color indexed="8"/>
        <rFont val="Calibri"/>
        <charset val="0"/>
      </rPr>
      <t>[20805]</t>
    </r>
    <r>
      <rPr>
        <b/>
        <sz val="10"/>
        <color indexed="8"/>
        <rFont val="宋体"/>
        <charset val="0"/>
      </rPr>
      <t>行政事业单位养老支出</t>
    </r>
  </si>
  <si>
    <r>
      <rPr>
        <sz val="10"/>
        <color indexed="8"/>
        <rFont val="宋体"/>
        <charset val="0"/>
      </rPr>
      <t>　　</t>
    </r>
    <r>
      <rPr>
        <sz val="10"/>
        <color indexed="8"/>
        <rFont val="Calibri"/>
        <charset val="0"/>
      </rPr>
      <t>[2080507]</t>
    </r>
    <r>
      <rPr>
        <sz val="10"/>
        <color indexed="8"/>
        <rFont val="宋体"/>
        <charset val="0"/>
      </rPr>
      <t>对机关事业单位基本养老保险基金的补助</t>
    </r>
  </si>
  <si>
    <r>
      <rPr>
        <sz val="10"/>
        <color rgb="FF000000"/>
        <rFont val="宋体"/>
        <charset val="0"/>
      </rPr>
      <t>　　</t>
    </r>
    <r>
      <rPr>
        <sz val="10"/>
        <color rgb="FF000000"/>
        <rFont val="Calibri"/>
        <charset val="0"/>
      </rPr>
      <t>[2080508]</t>
    </r>
    <r>
      <rPr>
        <sz val="10"/>
        <color rgb="FF000000"/>
        <rFont val="宋体"/>
        <charset val="0"/>
      </rPr>
      <t>对机关事业单位职业年金的补助</t>
    </r>
  </si>
  <si>
    <r>
      <rPr>
        <b/>
        <sz val="10"/>
        <color indexed="8"/>
        <rFont val="宋体"/>
        <charset val="0"/>
      </rPr>
      <t>　</t>
    </r>
    <r>
      <rPr>
        <b/>
        <sz val="10"/>
        <color indexed="8"/>
        <rFont val="Calibri"/>
        <charset val="0"/>
      </rPr>
      <t>[20807]</t>
    </r>
    <r>
      <rPr>
        <b/>
        <sz val="10"/>
        <color indexed="8"/>
        <rFont val="宋体"/>
        <charset val="0"/>
      </rPr>
      <t>就业补助</t>
    </r>
  </si>
  <si>
    <r>
      <rPr>
        <sz val="10"/>
        <color indexed="8"/>
        <rFont val="宋体"/>
        <charset val="0"/>
      </rPr>
      <t>　　</t>
    </r>
    <r>
      <rPr>
        <sz val="10"/>
        <color indexed="8"/>
        <rFont val="Calibri"/>
        <charset val="0"/>
      </rPr>
      <t>[2080701]</t>
    </r>
    <r>
      <rPr>
        <sz val="10"/>
        <color indexed="8"/>
        <rFont val="宋体"/>
        <charset val="0"/>
      </rPr>
      <t>就业创业服务补贴</t>
    </r>
  </si>
  <si>
    <r>
      <rPr>
        <sz val="10"/>
        <color indexed="8"/>
        <rFont val="宋体"/>
        <charset val="0"/>
      </rPr>
      <t>　　</t>
    </r>
    <r>
      <rPr>
        <sz val="10"/>
        <color indexed="8"/>
        <rFont val="Calibri"/>
        <charset val="0"/>
      </rPr>
      <t>[2080799]</t>
    </r>
    <r>
      <rPr>
        <sz val="10"/>
        <color indexed="8"/>
        <rFont val="宋体"/>
        <charset val="0"/>
      </rPr>
      <t>其他就业补助支出</t>
    </r>
  </si>
  <si>
    <r>
      <rPr>
        <b/>
        <sz val="10"/>
        <color indexed="8"/>
        <rFont val="宋体"/>
        <charset val="0"/>
      </rPr>
      <t>　</t>
    </r>
    <r>
      <rPr>
        <b/>
        <sz val="10"/>
        <color indexed="8"/>
        <rFont val="Calibri"/>
        <charset val="0"/>
      </rPr>
      <t>[20808]</t>
    </r>
    <r>
      <rPr>
        <b/>
        <sz val="10"/>
        <color indexed="8"/>
        <rFont val="宋体"/>
        <charset val="0"/>
      </rPr>
      <t>抚恤</t>
    </r>
  </si>
  <si>
    <r>
      <rPr>
        <sz val="10"/>
        <color indexed="8"/>
        <rFont val="宋体"/>
        <charset val="0"/>
      </rPr>
      <t>　　</t>
    </r>
    <r>
      <rPr>
        <sz val="10"/>
        <color indexed="8"/>
        <rFont val="Calibri"/>
        <charset val="0"/>
      </rPr>
      <t>[2080802]</t>
    </r>
    <r>
      <rPr>
        <sz val="10"/>
        <color indexed="8"/>
        <rFont val="宋体"/>
        <charset val="0"/>
      </rPr>
      <t>伤残抚恤</t>
    </r>
  </si>
  <si>
    <r>
      <rPr>
        <sz val="10"/>
        <color indexed="8"/>
        <rFont val="宋体"/>
        <charset val="0"/>
      </rPr>
      <t>　　</t>
    </r>
    <r>
      <rPr>
        <sz val="10"/>
        <color indexed="8"/>
        <rFont val="Calibri"/>
        <charset val="0"/>
      </rPr>
      <t>[2080805]</t>
    </r>
    <r>
      <rPr>
        <sz val="10"/>
        <color indexed="8"/>
        <rFont val="宋体"/>
        <charset val="0"/>
      </rPr>
      <t>义务兵优待</t>
    </r>
  </si>
  <si>
    <r>
      <rPr>
        <sz val="10"/>
        <color indexed="8"/>
        <rFont val="宋体"/>
        <charset val="0"/>
      </rPr>
      <t>　　</t>
    </r>
    <r>
      <rPr>
        <sz val="10"/>
        <color indexed="8"/>
        <rFont val="Calibri"/>
        <charset val="0"/>
      </rPr>
      <t>[2080899]</t>
    </r>
    <r>
      <rPr>
        <sz val="10"/>
        <color indexed="8"/>
        <rFont val="宋体"/>
        <charset val="0"/>
      </rPr>
      <t>其他优抚支出</t>
    </r>
  </si>
  <si>
    <r>
      <rPr>
        <b/>
        <sz val="10"/>
        <color indexed="8"/>
        <rFont val="宋体"/>
        <charset val="0"/>
      </rPr>
      <t>　</t>
    </r>
    <r>
      <rPr>
        <b/>
        <sz val="10"/>
        <color indexed="8"/>
        <rFont val="Calibri"/>
        <charset val="0"/>
      </rPr>
      <t>[20809]</t>
    </r>
    <r>
      <rPr>
        <b/>
        <sz val="10"/>
        <color indexed="8"/>
        <rFont val="宋体"/>
        <charset val="0"/>
      </rPr>
      <t>退役安置</t>
    </r>
  </si>
  <si>
    <r>
      <rPr>
        <sz val="10"/>
        <color indexed="8"/>
        <rFont val="宋体"/>
        <charset val="0"/>
      </rPr>
      <t>　　</t>
    </r>
    <r>
      <rPr>
        <sz val="10"/>
        <color indexed="8"/>
        <rFont val="Calibri"/>
        <charset val="0"/>
      </rPr>
      <t>[2080901]</t>
    </r>
    <r>
      <rPr>
        <sz val="10"/>
        <color indexed="8"/>
        <rFont val="宋体"/>
        <charset val="0"/>
      </rPr>
      <t>退役士兵安置</t>
    </r>
  </si>
  <si>
    <r>
      <rPr>
        <sz val="10"/>
        <color indexed="8"/>
        <rFont val="宋体"/>
        <charset val="0"/>
      </rPr>
      <t>　　</t>
    </r>
    <r>
      <rPr>
        <sz val="10"/>
        <color indexed="8"/>
        <rFont val="Calibri"/>
        <charset val="0"/>
      </rPr>
      <t>[2080905]</t>
    </r>
    <r>
      <rPr>
        <sz val="10"/>
        <color indexed="8"/>
        <rFont val="宋体"/>
        <charset val="0"/>
      </rPr>
      <t>军队转业干部安置</t>
    </r>
  </si>
  <si>
    <r>
      <rPr>
        <b/>
        <sz val="10"/>
        <color indexed="8"/>
        <rFont val="宋体"/>
        <charset val="0"/>
      </rPr>
      <t>　</t>
    </r>
    <r>
      <rPr>
        <b/>
        <sz val="10"/>
        <color indexed="8"/>
        <rFont val="Calibri"/>
        <charset val="0"/>
      </rPr>
      <t>[20810]</t>
    </r>
    <r>
      <rPr>
        <b/>
        <sz val="10"/>
        <color indexed="8"/>
        <rFont val="宋体"/>
        <charset val="0"/>
      </rPr>
      <t>社会福利</t>
    </r>
  </si>
  <si>
    <r>
      <rPr>
        <sz val="10"/>
        <color indexed="8"/>
        <rFont val="宋体"/>
        <charset val="0"/>
      </rPr>
      <t>　　</t>
    </r>
    <r>
      <rPr>
        <sz val="10"/>
        <color indexed="8"/>
        <rFont val="Calibri"/>
        <charset val="0"/>
      </rPr>
      <t>[2081002]</t>
    </r>
    <r>
      <rPr>
        <sz val="10"/>
        <color indexed="8"/>
        <rFont val="宋体"/>
        <charset val="0"/>
      </rPr>
      <t>老年福利</t>
    </r>
  </si>
  <si>
    <r>
      <rPr>
        <sz val="10"/>
        <color indexed="8"/>
        <rFont val="宋体"/>
        <charset val="0"/>
      </rPr>
      <t>　　</t>
    </r>
    <r>
      <rPr>
        <sz val="10"/>
        <color indexed="8"/>
        <rFont val="Calibri"/>
        <charset val="0"/>
      </rPr>
      <t>[2081006]</t>
    </r>
    <r>
      <rPr>
        <sz val="10"/>
        <color indexed="8"/>
        <rFont val="宋体"/>
        <charset val="0"/>
      </rPr>
      <t>养老服务</t>
    </r>
  </si>
  <si>
    <r>
      <rPr>
        <sz val="10"/>
        <color indexed="8"/>
        <rFont val="宋体"/>
        <charset val="0"/>
      </rPr>
      <t>　　</t>
    </r>
    <r>
      <rPr>
        <sz val="10"/>
        <color indexed="8"/>
        <rFont val="Calibri"/>
        <charset val="0"/>
      </rPr>
      <t>[2081099]</t>
    </r>
    <r>
      <rPr>
        <sz val="10"/>
        <color indexed="8"/>
        <rFont val="宋体"/>
        <charset val="0"/>
      </rPr>
      <t>其他社会福利支出</t>
    </r>
  </si>
  <si>
    <r>
      <rPr>
        <b/>
        <sz val="10"/>
        <color indexed="8"/>
        <rFont val="宋体"/>
        <charset val="0"/>
      </rPr>
      <t>　</t>
    </r>
    <r>
      <rPr>
        <b/>
        <sz val="10"/>
        <color indexed="8"/>
        <rFont val="Calibri"/>
        <charset val="0"/>
      </rPr>
      <t>[20811]</t>
    </r>
    <r>
      <rPr>
        <b/>
        <sz val="10"/>
        <color indexed="8"/>
        <rFont val="宋体"/>
        <charset val="0"/>
      </rPr>
      <t>残疾人事业</t>
    </r>
  </si>
  <si>
    <r>
      <rPr>
        <sz val="10"/>
        <color indexed="8"/>
        <rFont val="宋体"/>
        <charset val="0"/>
      </rPr>
      <t>　　</t>
    </r>
    <r>
      <rPr>
        <sz val="10"/>
        <color indexed="8"/>
        <rFont val="Calibri"/>
        <charset val="0"/>
      </rPr>
      <t>[2081101]</t>
    </r>
    <r>
      <rPr>
        <sz val="10"/>
        <color indexed="8"/>
        <rFont val="宋体"/>
        <charset val="0"/>
      </rPr>
      <t>行政运行</t>
    </r>
  </si>
  <si>
    <r>
      <rPr>
        <sz val="10"/>
        <color indexed="8"/>
        <rFont val="宋体"/>
        <charset val="0"/>
      </rPr>
      <t>　　</t>
    </r>
    <r>
      <rPr>
        <sz val="10"/>
        <color indexed="8"/>
        <rFont val="Calibri"/>
        <charset val="0"/>
      </rPr>
      <t>[2081102]</t>
    </r>
    <r>
      <rPr>
        <sz val="10"/>
        <color indexed="8"/>
        <rFont val="宋体"/>
        <charset val="0"/>
      </rPr>
      <t>一般行政管理事务</t>
    </r>
  </si>
  <si>
    <r>
      <rPr>
        <sz val="10"/>
        <color rgb="FF000000"/>
        <rFont val="宋体"/>
        <charset val="0"/>
      </rPr>
      <t>　　</t>
    </r>
    <r>
      <rPr>
        <sz val="10"/>
        <color rgb="FF000000"/>
        <rFont val="Calibri"/>
        <charset val="0"/>
      </rPr>
      <t>[2081104</t>
    </r>
    <r>
      <rPr>
        <sz val="10"/>
        <color rgb="FF000000"/>
        <rFont val="宋体"/>
        <charset val="0"/>
      </rPr>
      <t>残疾人康复</t>
    </r>
  </si>
  <si>
    <r>
      <rPr>
        <sz val="10"/>
        <color indexed="8"/>
        <rFont val="宋体"/>
        <charset val="0"/>
      </rPr>
      <t>　　</t>
    </r>
    <r>
      <rPr>
        <sz val="10"/>
        <color indexed="8"/>
        <rFont val="Calibri"/>
        <charset val="0"/>
      </rPr>
      <t>[2081107]</t>
    </r>
    <r>
      <rPr>
        <sz val="10"/>
        <color indexed="8"/>
        <rFont val="宋体"/>
        <charset val="0"/>
      </rPr>
      <t>残疾人生活和护理补贴</t>
    </r>
  </si>
  <si>
    <r>
      <rPr>
        <sz val="10"/>
        <color indexed="8"/>
        <rFont val="宋体"/>
        <charset val="0"/>
      </rPr>
      <t>　　</t>
    </r>
    <r>
      <rPr>
        <sz val="10"/>
        <color indexed="8"/>
        <rFont val="Calibri"/>
        <charset val="0"/>
      </rPr>
      <t>[2081199]</t>
    </r>
    <r>
      <rPr>
        <sz val="10"/>
        <color indexed="8"/>
        <rFont val="宋体"/>
        <charset val="0"/>
      </rPr>
      <t>其他残疾人事业支出</t>
    </r>
  </si>
  <si>
    <r>
      <rPr>
        <b/>
        <sz val="10"/>
        <color indexed="8"/>
        <rFont val="宋体"/>
        <charset val="0"/>
      </rPr>
      <t>　</t>
    </r>
    <r>
      <rPr>
        <b/>
        <sz val="10"/>
        <color indexed="8"/>
        <rFont val="Calibri"/>
        <charset val="0"/>
      </rPr>
      <t>[20819]</t>
    </r>
    <r>
      <rPr>
        <b/>
        <sz val="10"/>
        <color indexed="8"/>
        <rFont val="宋体"/>
        <charset val="0"/>
      </rPr>
      <t>最低生活保障</t>
    </r>
  </si>
  <si>
    <r>
      <rPr>
        <sz val="10"/>
        <color indexed="8"/>
        <rFont val="宋体"/>
        <charset val="0"/>
      </rPr>
      <t>　　</t>
    </r>
    <r>
      <rPr>
        <sz val="10"/>
        <color indexed="8"/>
        <rFont val="Calibri"/>
        <charset val="0"/>
      </rPr>
      <t>[2081902]</t>
    </r>
    <r>
      <rPr>
        <sz val="10"/>
        <color indexed="8"/>
        <rFont val="宋体"/>
        <charset val="0"/>
      </rPr>
      <t>农村最低生活保障金支出</t>
    </r>
  </si>
  <si>
    <r>
      <rPr>
        <b/>
        <sz val="10"/>
        <color indexed="8"/>
        <rFont val="宋体"/>
        <charset val="0"/>
      </rPr>
      <t>　</t>
    </r>
    <r>
      <rPr>
        <b/>
        <sz val="10"/>
        <color indexed="8"/>
        <rFont val="Calibri"/>
        <charset val="0"/>
      </rPr>
      <t>[20825]</t>
    </r>
    <r>
      <rPr>
        <b/>
        <sz val="10"/>
        <color indexed="8"/>
        <rFont val="宋体"/>
        <charset val="0"/>
      </rPr>
      <t>其他生活救助</t>
    </r>
  </si>
  <si>
    <r>
      <rPr>
        <sz val="10"/>
        <color indexed="8"/>
        <rFont val="宋体"/>
        <charset val="0"/>
      </rPr>
      <t>　　</t>
    </r>
    <r>
      <rPr>
        <sz val="10"/>
        <color indexed="8"/>
        <rFont val="Calibri"/>
        <charset val="0"/>
      </rPr>
      <t>[2082502]</t>
    </r>
    <r>
      <rPr>
        <sz val="10"/>
        <color indexed="8"/>
        <rFont val="宋体"/>
        <charset val="0"/>
      </rPr>
      <t>其他农村生活救助</t>
    </r>
  </si>
  <si>
    <r>
      <rPr>
        <b/>
        <sz val="10"/>
        <color indexed="8"/>
        <rFont val="宋体"/>
        <charset val="0"/>
      </rPr>
      <t>　</t>
    </r>
    <r>
      <rPr>
        <b/>
        <sz val="10"/>
        <color indexed="8"/>
        <rFont val="Calibri"/>
        <charset val="0"/>
      </rPr>
      <t>[20826]</t>
    </r>
    <r>
      <rPr>
        <b/>
        <sz val="10"/>
        <color indexed="8"/>
        <rFont val="宋体"/>
        <charset val="0"/>
      </rPr>
      <t>财政对基本养老保险基金的补助</t>
    </r>
  </si>
  <si>
    <r>
      <rPr>
        <sz val="10"/>
        <color indexed="8"/>
        <rFont val="宋体"/>
        <charset val="0"/>
      </rPr>
      <t>　　</t>
    </r>
    <r>
      <rPr>
        <sz val="10"/>
        <color indexed="8"/>
        <rFont val="Calibri"/>
        <charset val="0"/>
      </rPr>
      <t>[2082602]</t>
    </r>
    <r>
      <rPr>
        <sz val="10"/>
        <color indexed="8"/>
        <rFont val="宋体"/>
        <charset val="0"/>
      </rPr>
      <t>财政对城乡居民基本养老保险基金的补助</t>
    </r>
  </si>
  <si>
    <r>
      <rPr>
        <b/>
        <sz val="10"/>
        <color indexed="8"/>
        <rFont val="宋体"/>
        <charset val="0"/>
      </rPr>
      <t>　</t>
    </r>
    <r>
      <rPr>
        <b/>
        <sz val="10"/>
        <color indexed="8"/>
        <rFont val="Calibri"/>
        <charset val="0"/>
      </rPr>
      <t>[20828]</t>
    </r>
    <r>
      <rPr>
        <b/>
        <sz val="10"/>
        <color indexed="8"/>
        <rFont val="宋体"/>
        <charset val="0"/>
      </rPr>
      <t>退役军人管理事务</t>
    </r>
  </si>
  <si>
    <r>
      <rPr>
        <sz val="10"/>
        <color indexed="8"/>
        <rFont val="宋体"/>
        <charset val="0"/>
      </rPr>
      <t>　　</t>
    </r>
    <r>
      <rPr>
        <sz val="10"/>
        <color indexed="8"/>
        <rFont val="Calibri"/>
        <charset val="0"/>
      </rPr>
      <t>[2082801]</t>
    </r>
    <r>
      <rPr>
        <sz val="10"/>
        <color indexed="8"/>
        <rFont val="宋体"/>
        <charset val="0"/>
      </rPr>
      <t>行政运行</t>
    </r>
  </si>
  <si>
    <r>
      <rPr>
        <sz val="10"/>
        <color indexed="8"/>
        <rFont val="宋体"/>
        <charset val="0"/>
      </rPr>
      <t>　　</t>
    </r>
    <r>
      <rPr>
        <sz val="10"/>
        <color indexed="8"/>
        <rFont val="Calibri"/>
        <charset val="0"/>
      </rPr>
      <t>[2082802]</t>
    </r>
    <r>
      <rPr>
        <sz val="10"/>
        <color indexed="8"/>
        <rFont val="宋体"/>
        <charset val="0"/>
      </rPr>
      <t>一般行政管理事务</t>
    </r>
  </si>
  <si>
    <r>
      <rPr>
        <sz val="10"/>
        <color indexed="8"/>
        <rFont val="宋体"/>
        <charset val="0"/>
      </rPr>
      <t>　　</t>
    </r>
    <r>
      <rPr>
        <sz val="10"/>
        <color indexed="8"/>
        <rFont val="Calibri"/>
        <charset val="0"/>
      </rPr>
      <t>[2082804]</t>
    </r>
    <r>
      <rPr>
        <sz val="10"/>
        <color indexed="8"/>
        <rFont val="宋体"/>
        <charset val="0"/>
      </rPr>
      <t>拥军优属</t>
    </r>
  </si>
  <si>
    <r>
      <rPr>
        <sz val="10"/>
        <color rgb="FF000000"/>
        <rFont val="宋体"/>
        <charset val="0"/>
      </rPr>
      <t>　　</t>
    </r>
    <r>
      <rPr>
        <sz val="10"/>
        <color rgb="FF000000"/>
        <rFont val="Calibri"/>
        <charset val="0"/>
      </rPr>
      <t>[2082899]</t>
    </r>
    <r>
      <rPr>
        <sz val="10"/>
        <color rgb="FF000000"/>
        <rFont val="宋体"/>
        <charset val="0"/>
      </rPr>
      <t>其他退役军人事务管理支出</t>
    </r>
  </si>
  <si>
    <r>
      <rPr>
        <b/>
        <sz val="10"/>
        <color indexed="8"/>
        <rFont val="宋体"/>
        <charset val="0"/>
      </rPr>
      <t>　</t>
    </r>
    <r>
      <rPr>
        <b/>
        <sz val="10"/>
        <color indexed="8"/>
        <rFont val="Calibri"/>
        <charset val="0"/>
      </rPr>
      <t>[20830]</t>
    </r>
    <r>
      <rPr>
        <b/>
        <sz val="10"/>
        <color indexed="8"/>
        <rFont val="宋体"/>
        <charset val="0"/>
      </rPr>
      <t>财政代缴社会保险费支出</t>
    </r>
  </si>
  <si>
    <r>
      <rPr>
        <sz val="10"/>
        <color indexed="8"/>
        <rFont val="宋体"/>
        <charset val="0"/>
      </rPr>
      <t>　　</t>
    </r>
    <r>
      <rPr>
        <sz val="10"/>
        <color indexed="8"/>
        <rFont val="Calibri"/>
        <charset val="0"/>
      </rPr>
      <t>[2083099]</t>
    </r>
    <r>
      <rPr>
        <sz val="10"/>
        <color indexed="8"/>
        <rFont val="宋体"/>
        <charset val="0"/>
      </rPr>
      <t>财政代缴其他社会保险费支出</t>
    </r>
  </si>
  <si>
    <r>
      <rPr>
        <b/>
        <sz val="10"/>
        <color rgb="FF000000"/>
        <rFont val="宋体"/>
        <charset val="0"/>
      </rPr>
      <t>　</t>
    </r>
    <r>
      <rPr>
        <b/>
        <sz val="10"/>
        <color rgb="FF000000"/>
        <rFont val="Calibri"/>
        <charset val="0"/>
      </rPr>
      <t>[20899]</t>
    </r>
    <r>
      <rPr>
        <b/>
        <sz val="10"/>
        <color rgb="FF000000"/>
        <rFont val="宋体"/>
        <charset val="0"/>
      </rPr>
      <t>其他社会保障和就业支出</t>
    </r>
  </si>
  <si>
    <r>
      <rPr>
        <sz val="10"/>
        <color rgb="FF000000"/>
        <rFont val="宋体"/>
        <charset val="0"/>
      </rPr>
      <t>　　</t>
    </r>
    <r>
      <rPr>
        <sz val="10"/>
        <color rgb="FF000000"/>
        <rFont val="Calibri"/>
        <charset val="0"/>
      </rPr>
      <t>[2089999]</t>
    </r>
    <r>
      <rPr>
        <sz val="10"/>
        <color rgb="FF000000"/>
        <rFont val="宋体"/>
        <charset val="0"/>
      </rPr>
      <t>其他社会保障和就业支出</t>
    </r>
  </si>
  <si>
    <r>
      <rPr>
        <b/>
        <sz val="10"/>
        <color indexed="8"/>
        <rFont val="Calibri"/>
        <charset val="0"/>
      </rPr>
      <t>[210]</t>
    </r>
    <r>
      <rPr>
        <b/>
        <sz val="10"/>
        <color indexed="8"/>
        <rFont val="宋体"/>
        <charset val="0"/>
      </rPr>
      <t>卫生健康支出</t>
    </r>
  </si>
  <si>
    <r>
      <rPr>
        <b/>
        <sz val="10"/>
        <color indexed="8"/>
        <rFont val="宋体"/>
        <charset val="0"/>
      </rPr>
      <t>　</t>
    </r>
    <r>
      <rPr>
        <b/>
        <sz val="10"/>
        <color indexed="8"/>
        <rFont val="Calibri"/>
        <charset val="0"/>
      </rPr>
      <t>[21001]</t>
    </r>
    <r>
      <rPr>
        <b/>
        <sz val="10"/>
        <color indexed="8"/>
        <rFont val="宋体"/>
        <charset val="0"/>
      </rPr>
      <t>卫生健康管理事务</t>
    </r>
  </si>
  <si>
    <r>
      <rPr>
        <sz val="10"/>
        <color indexed="8"/>
        <rFont val="宋体"/>
        <charset val="0"/>
      </rPr>
      <t>　　</t>
    </r>
    <r>
      <rPr>
        <sz val="10"/>
        <color indexed="8"/>
        <rFont val="Calibri"/>
        <charset val="0"/>
      </rPr>
      <t>[2100101]</t>
    </r>
    <r>
      <rPr>
        <sz val="10"/>
        <color indexed="8"/>
        <rFont val="宋体"/>
        <charset val="0"/>
      </rPr>
      <t>行政运行</t>
    </r>
  </si>
  <si>
    <r>
      <rPr>
        <sz val="10"/>
        <color indexed="8"/>
        <rFont val="宋体"/>
        <charset val="0"/>
      </rPr>
      <t>　　</t>
    </r>
    <r>
      <rPr>
        <sz val="10"/>
        <color indexed="8"/>
        <rFont val="Calibri"/>
        <charset val="0"/>
      </rPr>
      <t>[2100102]</t>
    </r>
    <r>
      <rPr>
        <sz val="10"/>
        <color indexed="8"/>
        <rFont val="宋体"/>
        <charset val="0"/>
      </rPr>
      <t>一般行政管理事务</t>
    </r>
  </si>
  <si>
    <r>
      <rPr>
        <sz val="10"/>
        <color indexed="8"/>
        <rFont val="宋体"/>
        <charset val="0"/>
      </rPr>
      <t>　　</t>
    </r>
    <r>
      <rPr>
        <sz val="10"/>
        <color indexed="8"/>
        <rFont val="Calibri"/>
        <charset val="0"/>
      </rPr>
      <t>[2100199]</t>
    </r>
    <r>
      <rPr>
        <sz val="10"/>
        <color indexed="8"/>
        <rFont val="宋体"/>
        <charset val="0"/>
      </rPr>
      <t>其他卫生健康管理事务支出</t>
    </r>
  </si>
  <si>
    <r>
      <rPr>
        <b/>
        <sz val="10"/>
        <color indexed="8"/>
        <rFont val="宋体"/>
        <charset val="0"/>
      </rPr>
      <t>　</t>
    </r>
    <r>
      <rPr>
        <b/>
        <sz val="10"/>
        <color indexed="8"/>
        <rFont val="Calibri"/>
        <charset val="0"/>
      </rPr>
      <t>[21003]</t>
    </r>
    <r>
      <rPr>
        <b/>
        <sz val="10"/>
        <color indexed="8"/>
        <rFont val="宋体"/>
        <charset val="0"/>
      </rPr>
      <t>基层医疗卫生机构</t>
    </r>
  </si>
  <si>
    <r>
      <rPr>
        <sz val="10"/>
        <color indexed="8"/>
        <rFont val="宋体"/>
        <charset val="0"/>
      </rPr>
      <t>　　</t>
    </r>
    <r>
      <rPr>
        <sz val="10"/>
        <color indexed="8"/>
        <rFont val="Calibri"/>
        <charset val="0"/>
      </rPr>
      <t>[2100301]</t>
    </r>
    <r>
      <rPr>
        <sz val="10"/>
        <color indexed="8"/>
        <rFont val="宋体"/>
        <charset val="0"/>
      </rPr>
      <t>城市社区卫生机构</t>
    </r>
  </si>
  <si>
    <r>
      <rPr>
        <sz val="10"/>
        <color indexed="8"/>
        <rFont val="宋体"/>
        <charset val="0"/>
      </rPr>
      <t>　　</t>
    </r>
    <r>
      <rPr>
        <sz val="10"/>
        <color indexed="8"/>
        <rFont val="Calibri"/>
        <charset val="0"/>
      </rPr>
      <t>[2100302]</t>
    </r>
    <r>
      <rPr>
        <sz val="10"/>
        <color indexed="8"/>
        <rFont val="宋体"/>
        <charset val="0"/>
      </rPr>
      <t>乡镇卫生院</t>
    </r>
  </si>
  <si>
    <r>
      <rPr>
        <sz val="10"/>
        <color indexed="8"/>
        <rFont val="宋体"/>
        <charset val="0"/>
      </rPr>
      <t>　　</t>
    </r>
    <r>
      <rPr>
        <sz val="10"/>
        <color indexed="8"/>
        <rFont val="Calibri"/>
        <charset val="0"/>
      </rPr>
      <t>[2100399]</t>
    </r>
    <r>
      <rPr>
        <sz val="10"/>
        <color indexed="8"/>
        <rFont val="宋体"/>
        <charset val="0"/>
      </rPr>
      <t>其他基层医疗卫生机构支出</t>
    </r>
  </si>
  <si>
    <r>
      <rPr>
        <b/>
        <sz val="10"/>
        <color indexed="8"/>
        <rFont val="宋体"/>
        <charset val="0"/>
      </rPr>
      <t>　</t>
    </r>
    <r>
      <rPr>
        <b/>
        <sz val="10"/>
        <color indexed="8"/>
        <rFont val="Calibri"/>
        <charset val="0"/>
      </rPr>
      <t>[21004]</t>
    </r>
    <r>
      <rPr>
        <b/>
        <sz val="10"/>
        <color indexed="8"/>
        <rFont val="宋体"/>
        <charset val="0"/>
      </rPr>
      <t>公共卫生</t>
    </r>
  </si>
  <si>
    <r>
      <rPr>
        <sz val="10"/>
        <color indexed="8"/>
        <rFont val="宋体"/>
        <charset val="0"/>
      </rPr>
      <t>　　</t>
    </r>
    <r>
      <rPr>
        <sz val="10"/>
        <color indexed="8"/>
        <rFont val="Calibri"/>
        <charset val="0"/>
      </rPr>
      <t>[2100408]</t>
    </r>
    <r>
      <rPr>
        <sz val="10"/>
        <color indexed="8"/>
        <rFont val="宋体"/>
        <charset val="0"/>
      </rPr>
      <t>基本公共卫生服务</t>
    </r>
  </si>
  <si>
    <r>
      <rPr>
        <sz val="10"/>
        <color indexed="8"/>
        <rFont val="宋体"/>
        <charset val="0"/>
      </rPr>
      <t>　　</t>
    </r>
    <r>
      <rPr>
        <sz val="10"/>
        <color indexed="8"/>
        <rFont val="Calibri"/>
        <charset val="0"/>
      </rPr>
      <t>[2100409]</t>
    </r>
    <r>
      <rPr>
        <sz val="10"/>
        <color indexed="8"/>
        <rFont val="宋体"/>
        <charset val="0"/>
      </rPr>
      <t>重大公共卫生服务</t>
    </r>
  </si>
  <si>
    <r>
      <rPr>
        <sz val="10"/>
        <color indexed="8"/>
        <rFont val="宋体"/>
        <charset val="0"/>
      </rPr>
      <t>　　</t>
    </r>
    <r>
      <rPr>
        <sz val="10"/>
        <color indexed="8"/>
        <rFont val="Calibri"/>
        <charset val="0"/>
      </rPr>
      <t>[2100410]</t>
    </r>
    <r>
      <rPr>
        <sz val="10"/>
        <color indexed="8"/>
        <rFont val="宋体"/>
        <charset val="0"/>
      </rPr>
      <t>突发公共卫生事件应急处理</t>
    </r>
  </si>
  <si>
    <r>
      <rPr>
        <sz val="10"/>
        <color indexed="8"/>
        <rFont val="宋体"/>
        <charset val="0"/>
      </rPr>
      <t>　　</t>
    </r>
    <r>
      <rPr>
        <sz val="10"/>
        <color indexed="8"/>
        <rFont val="Calibri"/>
        <charset val="0"/>
      </rPr>
      <t>[2100499]</t>
    </r>
    <r>
      <rPr>
        <sz val="10"/>
        <color indexed="8"/>
        <rFont val="宋体"/>
        <charset val="0"/>
      </rPr>
      <t>其他公共卫生支出</t>
    </r>
  </si>
  <si>
    <r>
      <rPr>
        <b/>
        <sz val="10"/>
        <color indexed="8"/>
        <rFont val="宋体"/>
        <charset val="0"/>
      </rPr>
      <t>　</t>
    </r>
    <r>
      <rPr>
        <b/>
        <sz val="10"/>
        <color indexed="8"/>
        <rFont val="Calibri"/>
        <charset val="0"/>
      </rPr>
      <t>[21007]</t>
    </r>
    <r>
      <rPr>
        <b/>
        <sz val="10"/>
        <color indexed="8"/>
        <rFont val="宋体"/>
        <charset val="0"/>
      </rPr>
      <t>计划生育事务</t>
    </r>
  </si>
  <si>
    <r>
      <rPr>
        <sz val="10"/>
        <color indexed="8"/>
        <rFont val="宋体"/>
        <charset val="0"/>
      </rPr>
      <t>　　</t>
    </r>
    <r>
      <rPr>
        <sz val="10"/>
        <color indexed="8"/>
        <rFont val="Calibri"/>
        <charset val="0"/>
      </rPr>
      <t>[2100717]</t>
    </r>
    <r>
      <rPr>
        <sz val="10"/>
        <color indexed="8"/>
        <rFont val="宋体"/>
        <charset val="0"/>
      </rPr>
      <t>计划生育服务</t>
    </r>
  </si>
  <si>
    <r>
      <rPr>
        <sz val="10"/>
        <color indexed="8"/>
        <rFont val="宋体"/>
        <charset val="0"/>
      </rPr>
      <t>　　</t>
    </r>
    <r>
      <rPr>
        <sz val="10"/>
        <color indexed="8"/>
        <rFont val="Calibri"/>
        <charset val="0"/>
      </rPr>
      <t>[2100799]</t>
    </r>
    <r>
      <rPr>
        <sz val="10"/>
        <color indexed="8"/>
        <rFont val="宋体"/>
        <charset val="0"/>
      </rPr>
      <t>其他计划生育事务支出</t>
    </r>
  </si>
  <si>
    <r>
      <rPr>
        <b/>
        <sz val="10"/>
        <color indexed="8"/>
        <rFont val="宋体"/>
        <charset val="0"/>
      </rPr>
      <t>　</t>
    </r>
    <r>
      <rPr>
        <b/>
        <sz val="10"/>
        <color indexed="8"/>
        <rFont val="Calibri"/>
        <charset val="0"/>
      </rPr>
      <t>[21012]</t>
    </r>
    <r>
      <rPr>
        <b/>
        <sz val="10"/>
        <color indexed="8"/>
        <rFont val="宋体"/>
        <charset val="0"/>
      </rPr>
      <t>财政对基本医疗保险基金的补助</t>
    </r>
  </si>
  <si>
    <r>
      <rPr>
        <sz val="10"/>
        <color indexed="8"/>
        <rFont val="宋体"/>
        <charset val="0"/>
      </rPr>
      <t>　　</t>
    </r>
    <r>
      <rPr>
        <sz val="10"/>
        <color indexed="8"/>
        <rFont val="Calibri"/>
        <charset val="0"/>
      </rPr>
      <t>[2101202]</t>
    </r>
    <r>
      <rPr>
        <sz val="10"/>
        <color indexed="8"/>
        <rFont val="宋体"/>
        <charset val="0"/>
      </rPr>
      <t>财政对城乡居民基本医疗保险基金的补助</t>
    </r>
  </si>
  <si>
    <r>
      <rPr>
        <b/>
        <sz val="10"/>
        <color indexed="8"/>
        <rFont val="宋体"/>
        <charset val="0"/>
      </rPr>
      <t>　</t>
    </r>
    <r>
      <rPr>
        <b/>
        <sz val="10"/>
        <color indexed="8"/>
        <rFont val="Calibri"/>
        <charset val="0"/>
      </rPr>
      <t>[21013]</t>
    </r>
    <r>
      <rPr>
        <b/>
        <sz val="10"/>
        <color indexed="8"/>
        <rFont val="宋体"/>
        <charset val="0"/>
      </rPr>
      <t>医疗救助</t>
    </r>
  </si>
  <si>
    <r>
      <rPr>
        <sz val="10"/>
        <color indexed="8"/>
        <rFont val="宋体"/>
        <charset val="0"/>
      </rPr>
      <t>　　</t>
    </r>
    <r>
      <rPr>
        <sz val="10"/>
        <color indexed="8"/>
        <rFont val="Calibri"/>
        <charset val="0"/>
      </rPr>
      <t>[2101301]</t>
    </r>
    <r>
      <rPr>
        <sz val="10"/>
        <color indexed="8"/>
        <rFont val="宋体"/>
        <charset val="0"/>
      </rPr>
      <t>城乡医疗救助</t>
    </r>
  </si>
  <si>
    <r>
      <rPr>
        <sz val="10"/>
        <color rgb="FF000000"/>
        <rFont val="宋体"/>
        <charset val="0"/>
      </rPr>
      <t>　　</t>
    </r>
    <r>
      <rPr>
        <sz val="10"/>
        <color rgb="FF000000"/>
        <rFont val="Calibri"/>
        <charset val="0"/>
      </rPr>
      <t>[2101399]</t>
    </r>
    <r>
      <rPr>
        <sz val="10"/>
        <color rgb="FF000000"/>
        <rFont val="宋体"/>
        <charset val="0"/>
      </rPr>
      <t>其他医疗救助支出</t>
    </r>
  </si>
  <si>
    <r>
      <rPr>
        <b/>
        <sz val="10"/>
        <color indexed="8"/>
        <rFont val="宋体"/>
        <charset val="0"/>
      </rPr>
      <t>　</t>
    </r>
    <r>
      <rPr>
        <b/>
        <sz val="10"/>
        <color indexed="8"/>
        <rFont val="Calibri"/>
        <charset val="0"/>
      </rPr>
      <t>[21014]</t>
    </r>
    <r>
      <rPr>
        <b/>
        <sz val="10"/>
        <color indexed="8"/>
        <rFont val="宋体"/>
        <charset val="0"/>
      </rPr>
      <t>优抚对象医疗</t>
    </r>
  </si>
  <si>
    <r>
      <rPr>
        <sz val="10"/>
        <color indexed="8"/>
        <rFont val="宋体"/>
        <charset val="0"/>
      </rPr>
      <t>　　</t>
    </r>
    <r>
      <rPr>
        <sz val="10"/>
        <color indexed="8"/>
        <rFont val="Calibri"/>
        <charset val="0"/>
      </rPr>
      <t>[2101401]</t>
    </r>
    <r>
      <rPr>
        <sz val="10"/>
        <color indexed="8"/>
        <rFont val="宋体"/>
        <charset val="0"/>
      </rPr>
      <t>优抚对象医疗补助</t>
    </r>
  </si>
  <si>
    <r>
      <rPr>
        <b/>
        <sz val="10"/>
        <color indexed="8"/>
        <rFont val="宋体"/>
        <charset val="0"/>
      </rPr>
      <t>　</t>
    </r>
    <r>
      <rPr>
        <b/>
        <sz val="10"/>
        <color indexed="8"/>
        <rFont val="Calibri"/>
        <charset val="0"/>
      </rPr>
      <t>[21015]</t>
    </r>
    <r>
      <rPr>
        <b/>
        <sz val="10"/>
        <color indexed="8"/>
        <rFont val="宋体"/>
        <charset val="0"/>
      </rPr>
      <t>医疗保障管理事务</t>
    </r>
  </si>
  <si>
    <r>
      <rPr>
        <sz val="10"/>
        <color indexed="8"/>
        <rFont val="宋体"/>
        <charset val="0"/>
      </rPr>
      <t>　　</t>
    </r>
    <r>
      <rPr>
        <sz val="10"/>
        <color indexed="8"/>
        <rFont val="Calibri"/>
        <charset val="0"/>
      </rPr>
      <t>[2101501]</t>
    </r>
    <r>
      <rPr>
        <sz val="10"/>
        <color indexed="8"/>
        <rFont val="宋体"/>
        <charset val="0"/>
      </rPr>
      <t>行政运行</t>
    </r>
  </si>
  <si>
    <r>
      <rPr>
        <sz val="10"/>
        <color indexed="8"/>
        <rFont val="宋体"/>
        <charset val="0"/>
      </rPr>
      <t>　　</t>
    </r>
    <r>
      <rPr>
        <sz val="10"/>
        <color indexed="8"/>
        <rFont val="Calibri"/>
        <charset val="0"/>
      </rPr>
      <t>[2101502]</t>
    </r>
    <r>
      <rPr>
        <sz val="10"/>
        <color indexed="8"/>
        <rFont val="宋体"/>
        <charset val="0"/>
      </rPr>
      <t>一般行政管理事务</t>
    </r>
  </si>
  <si>
    <r>
      <rPr>
        <sz val="10"/>
        <color indexed="8"/>
        <rFont val="宋体"/>
        <charset val="0"/>
      </rPr>
      <t>　　</t>
    </r>
    <r>
      <rPr>
        <sz val="10"/>
        <color indexed="8"/>
        <rFont val="Calibri"/>
        <charset val="0"/>
      </rPr>
      <t>[2101506]</t>
    </r>
    <r>
      <rPr>
        <sz val="10"/>
        <color indexed="8"/>
        <rFont val="宋体"/>
        <charset val="0"/>
      </rPr>
      <t>医疗保障经办事务</t>
    </r>
  </si>
  <si>
    <r>
      <rPr>
        <sz val="10"/>
        <color rgb="FF000000"/>
        <rFont val="宋体"/>
        <charset val="0"/>
      </rPr>
      <t>　　</t>
    </r>
    <r>
      <rPr>
        <sz val="10"/>
        <color rgb="FF000000"/>
        <rFont val="Calibri"/>
        <charset val="0"/>
      </rPr>
      <t>[2101599]</t>
    </r>
    <r>
      <rPr>
        <sz val="10"/>
        <color rgb="FF000000"/>
        <rFont val="宋体"/>
        <charset val="0"/>
      </rPr>
      <t>其他医疗保障管理事务支出</t>
    </r>
  </si>
  <si>
    <r>
      <rPr>
        <b/>
        <sz val="10"/>
        <color rgb="FF000000"/>
        <rFont val="宋体"/>
        <charset val="0"/>
      </rPr>
      <t>　</t>
    </r>
    <r>
      <rPr>
        <b/>
        <sz val="10"/>
        <color rgb="FF000000"/>
        <rFont val="Calibri"/>
        <charset val="0"/>
      </rPr>
      <t>[21099]</t>
    </r>
    <r>
      <rPr>
        <b/>
        <sz val="10"/>
        <color rgb="FF000000"/>
        <rFont val="宋体"/>
        <charset val="0"/>
      </rPr>
      <t>其他卫生健康支出</t>
    </r>
  </si>
  <si>
    <r>
      <rPr>
        <sz val="10"/>
        <color rgb="FF000000"/>
        <rFont val="宋体"/>
        <charset val="0"/>
      </rPr>
      <t>　　</t>
    </r>
    <r>
      <rPr>
        <sz val="10"/>
        <color rgb="FF000000"/>
        <rFont val="Calibri"/>
        <charset val="0"/>
      </rPr>
      <t>[2109999]</t>
    </r>
    <r>
      <rPr>
        <sz val="10"/>
        <color rgb="FF000000"/>
        <rFont val="宋体"/>
        <charset val="0"/>
      </rPr>
      <t>其他卫生健康支出</t>
    </r>
  </si>
  <si>
    <r>
      <rPr>
        <b/>
        <sz val="10"/>
        <color indexed="8"/>
        <rFont val="Calibri"/>
        <charset val="0"/>
      </rPr>
      <t>[211]</t>
    </r>
    <r>
      <rPr>
        <b/>
        <sz val="10"/>
        <color indexed="8"/>
        <rFont val="宋体"/>
        <charset val="0"/>
      </rPr>
      <t>节能环保支出</t>
    </r>
  </si>
  <si>
    <r>
      <rPr>
        <b/>
        <sz val="10"/>
        <color indexed="8"/>
        <rFont val="宋体"/>
        <charset val="0"/>
      </rPr>
      <t>　</t>
    </r>
    <r>
      <rPr>
        <b/>
        <sz val="10"/>
        <color indexed="8"/>
        <rFont val="Calibri"/>
        <charset val="0"/>
      </rPr>
      <t>[21101]</t>
    </r>
    <r>
      <rPr>
        <b/>
        <sz val="10"/>
        <color indexed="8"/>
        <rFont val="宋体"/>
        <charset val="0"/>
      </rPr>
      <t>环境保护管理事务</t>
    </r>
  </si>
  <si>
    <r>
      <rPr>
        <sz val="10"/>
        <color indexed="8"/>
        <rFont val="宋体"/>
        <charset val="0"/>
      </rPr>
      <t>　　</t>
    </r>
    <r>
      <rPr>
        <sz val="10"/>
        <color indexed="8"/>
        <rFont val="Calibri"/>
        <charset val="0"/>
      </rPr>
      <t>[2110101]</t>
    </r>
    <r>
      <rPr>
        <sz val="10"/>
        <color indexed="8"/>
        <rFont val="宋体"/>
        <charset val="0"/>
      </rPr>
      <t>行政运行</t>
    </r>
  </si>
  <si>
    <r>
      <rPr>
        <sz val="10"/>
        <color indexed="8"/>
        <rFont val="宋体"/>
        <charset val="0"/>
      </rPr>
      <t>　　</t>
    </r>
    <r>
      <rPr>
        <sz val="10"/>
        <color indexed="8"/>
        <rFont val="Calibri"/>
        <charset val="0"/>
      </rPr>
      <t>[2110102]</t>
    </r>
    <r>
      <rPr>
        <sz val="10"/>
        <color indexed="8"/>
        <rFont val="宋体"/>
        <charset val="0"/>
      </rPr>
      <t>一般行政管理事务</t>
    </r>
  </si>
  <si>
    <r>
      <rPr>
        <b/>
        <sz val="10"/>
        <color indexed="8"/>
        <rFont val="宋体"/>
        <charset val="0"/>
      </rPr>
      <t>　</t>
    </r>
    <r>
      <rPr>
        <b/>
        <sz val="10"/>
        <color indexed="8"/>
        <rFont val="Calibri"/>
        <charset val="0"/>
      </rPr>
      <t>[21102]</t>
    </r>
    <r>
      <rPr>
        <b/>
        <sz val="10"/>
        <color indexed="8"/>
        <rFont val="宋体"/>
        <charset val="0"/>
      </rPr>
      <t>环境监测与监察</t>
    </r>
  </si>
  <si>
    <r>
      <rPr>
        <sz val="10"/>
        <color indexed="8"/>
        <rFont val="宋体"/>
        <charset val="0"/>
      </rPr>
      <t>　　</t>
    </r>
    <r>
      <rPr>
        <sz val="10"/>
        <color indexed="8"/>
        <rFont val="Calibri"/>
        <charset val="0"/>
      </rPr>
      <t>[2110299]</t>
    </r>
    <r>
      <rPr>
        <sz val="10"/>
        <color indexed="8"/>
        <rFont val="宋体"/>
        <charset val="0"/>
      </rPr>
      <t>其他环境监测与监察支出</t>
    </r>
  </si>
  <si>
    <r>
      <rPr>
        <b/>
        <sz val="10"/>
        <color indexed="8"/>
        <rFont val="宋体"/>
        <charset val="0"/>
      </rPr>
      <t>　</t>
    </r>
    <r>
      <rPr>
        <b/>
        <sz val="10"/>
        <color indexed="8"/>
        <rFont val="Calibri"/>
        <charset val="0"/>
      </rPr>
      <t>[21103]</t>
    </r>
    <r>
      <rPr>
        <b/>
        <sz val="10"/>
        <color indexed="8"/>
        <rFont val="宋体"/>
        <charset val="0"/>
      </rPr>
      <t>污染防治</t>
    </r>
  </si>
  <si>
    <r>
      <rPr>
        <sz val="10"/>
        <color indexed="8"/>
        <rFont val="宋体"/>
        <charset val="0"/>
      </rPr>
      <t>　　</t>
    </r>
    <r>
      <rPr>
        <sz val="10"/>
        <color indexed="8"/>
        <rFont val="Calibri"/>
        <charset val="0"/>
      </rPr>
      <t>[2110302]</t>
    </r>
    <r>
      <rPr>
        <sz val="10"/>
        <color indexed="8"/>
        <rFont val="宋体"/>
        <charset val="0"/>
      </rPr>
      <t>水体</t>
    </r>
  </si>
  <si>
    <r>
      <rPr>
        <sz val="10"/>
        <color indexed="8"/>
        <rFont val="宋体"/>
        <charset val="0"/>
      </rPr>
      <t>　　</t>
    </r>
    <r>
      <rPr>
        <sz val="10"/>
        <color indexed="8"/>
        <rFont val="Calibri"/>
        <charset val="0"/>
      </rPr>
      <t>[2110304]</t>
    </r>
    <r>
      <rPr>
        <sz val="10"/>
        <color indexed="8"/>
        <rFont val="宋体"/>
        <charset val="0"/>
      </rPr>
      <t>固体废弃物与化学品</t>
    </r>
  </si>
  <si>
    <r>
      <rPr>
        <b/>
        <sz val="10"/>
        <color rgb="FF000000"/>
        <rFont val="宋体"/>
        <charset val="0"/>
      </rPr>
      <t>　</t>
    </r>
    <r>
      <rPr>
        <b/>
        <sz val="10"/>
        <color rgb="FF000000"/>
        <rFont val="Calibri"/>
        <charset val="0"/>
      </rPr>
      <t>[21104]</t>
    </r>
    <r>
      <rPr>
        <b/>
        <sz val="10"/>
        <color rgb="FF000000"/>
        <rFont val="宋体"/>
        <charset val="0"/>
      </rPr>
      <t>自然生态保护</t>
    </r>
  </si>
  <si>
    <r>
      <rPr>
        <sz val="10"/>
        <color rgb="FF000000"/>
        <rFont val="宋体"/>
        <charset val="0"/>
      </rPr>
      <t>　　</t>
    </r>
    <r>
      <rPr>
        <sz val="10"/>
        <color rgb="FF000000"/>
        <rFont val="Calibri"/>
        <charset val="0"/>
      </rPr>
      <t>[2110499]</t>
    </r>
    <r>
      <rPr>
        <sz val="10"/>
        <color rgb="FF000000"/>
        <rFont val="宋体"/>
        <charset val="0"/>
      </rPr>
      <t>其他自然生态保护支出</t>
    </r>
  </si>
  <si>
    <r>
      <rPr>
        <b/>
        <sz val="10"/>
        <color indexed="8"/>
        <rFont val="宋体"/>
        <charset val="0"/>
      </rPr>
      <t>　</t>
    </r>
    <r>
      <rPr>
        <b/>
        <sz val="10"/>
        <color indexed="8"/>
        <rFont val="Calibri"/>
        <charset val="0"/>
      </rPr>
      <t>[21112]</t>
    </r>
    <r>
      <rPr>
        <b/>
        <sz val="10"/>
        <color indexed="8"/>
        <rFont val="宋体"/>
        <charset val="0"/>
      </rPr>
      <t>可再生能源</t>
    </r>
  </si>
  <si>
    <r>
      <rPr>
        <sz val="10"/>
        <color indexed="8"/>
        <rFont val="宋体"/>
        <charset val="0"/>
      </rPr>
      <t>　　</t>
    </r>
    <r>
      <rPr>
        <sz val="10"/>
        <color indexed="8"/>
        <rFont val="Calibri"/>
        <charset val="0"/>
      </rPr>
      <t>[2111201]</t>
    </r>
    <r>
      <rPr>
        <sz val="10"/>
        <color indexed="8"/>
        <rFont val="宋体"/>
        <charset val="0"/>
      </rPr>
      <t>可再生能源</t>
    </r>
  </si>
  <si>
    <r>
      <rPr>
        <b/>
        <sz val="10"/>
        <color rgb="FF000000"/>
        <rFont val="宋体"/>
        <charset val="0"/>
      </rPr>
      <t>　</t>
    </r>
    <r>
      <rPr>
        <b/>
        <sz val="10"/>
        <color rgb="FF000000"/>
        <rFont val="Calibri"/>
        <charset val="0"/>
      </rPr>
      <t>[21199]</t>
    </r>
    <r>
      <rPr>
        <b/>
        <sz val="10"/>
        <color rgb="FF000000"/>
        <rFont val="宋体"/>
        <charset val="0"/>
      </rPr>
      <t>其他节能环保支出</t>
    </r>
  </si>
  <si>
    <r>
      <rPr>
        <sz val="10"/>
        <color rgb="FF000000"/>
        <rFont val="宋体"/>
        <charset val="0"/>
      </rPr>
      <t>　　</t>
    </r>
    <r>
      <rPr>
        <sz val="10"/>
        <color rgb="FF000000"/>
        <rFont val="Calibri"/>
        <charset val="0"/>
      </rPr>
      <t>[2119999]</t>
    </r>
    <r>
      <rPr>
        <sz val="10"/>
        <color rgb="FF000000"/>
        <rFont val="宋体"/>
        <charset val="0"/>
      </rPr>
      <t>其他节能环保支出</t>
    </r>
  </si>
  <si>
    <r>
      <rPr>
        <b/>
        <sz val="10"/>
        <color indexed="8"/>
        <rFont val="Calibri"/>
        <charset val="0"/>
      </rPr>
      <t>[212]</t>
    </r>
    <r>
      <rPr>
        <b/>
        <sz val="10"/>
        <color indexed="8"/>
        <rFont val="宋体"/>
        <charset val="0"/>
      </rPr>
      <t>城乡社区支出</t>
    </r>
  </si>
  <si>
    <r>
      <rPr>
        <b/>
        <sz val="10"/>
        <color indexed="8"/>
        <rFont val="宋体"/>
        <charset val="0"/>
      </rPr>
      <t>　</t>
    </r>
    <r>
      <rPr>
        <b/>
        <sz val="10"/>
        <color indexed="8"/>
        <rFont val="Calibri"/>
        <charset val="0"/>
      </rPr>
      <t>[21201]</t>
    </r>
    <r>
      <rPr>
        <b/>
        <sz val="10"/>
        <color indexed="8"/>
        <rFont val="宋体"/>
        <charset val="0"/>
      </rPr>
      <t>城乡社区管理事务</t>
    </r>
  </si>
  <si>
    <r>
      <rPr>
        <sz val="10"/>
        <color indexed="8"/>
        <rFont val="宋体"/>
        <charset val="0"/>
      </rPr>
      <t>　　</t>
    </r>
    <r>
      <rPr>
        <sz val="10"/>
        <color indexed="8"/>
        <rFont val="Calibri"/>
        <charset val="0"/>
      </rPr>
      <t>[2120101]</t>
    </r>
    <r>
      <rPr>
        <sz val="10"/>
        <color indexed="8"/>
        <rFont val="宋体"/>
        <charset val="0"/>
      </rPr>
      <t>行政运行</t>
    </r>
  </si>
  <si>
    <r>
      <rPr>
        <sz val="10"/>
        <color rgb="FF000000"/>
        <rFont val="宋体"/>
        <charset val="0"/>
      </rPr>
      <t>　　</t>
    </r>
    <r>
      <rPr>
        <sz val="10"/>
        <color rgb="FF000000"/>
        <rFont val="Calibri"/>
        <charset val="0"/>
      </rPr>
      <t>[2120102]</t>
    </r>
    <r>
      <rPr>
        <sz val="10"/>
        <color rgb="FF000000"/>
        <rFont val="宋体"/>
        <charset val="0"/>
      </rPr>
      <t>一般行政管理事务</t>
    </r>
  </si>
  <si>
    <r>
      <rPr>
        <sz val="10"/>
        <color indexed="8"/>
        <rFont val="宋体"/>
        <charset val="0"/>
      </rPr>
      <t>　　</t>
    </r>
    <r>
      <rPr>
        <sz val="10"/>
        <color indexed="8"/>
        <rFont val="Calibri"/>
        <charset val="0"/>
      </rPr>
      <t>[2120104]</t>
    </r>
    <r>
      <rPr>
        <sz val="10"/>
        <color indexed="8"/>
        <rFont val="宋体"/>
        <charset val="0"/>
      </rPr>
      <t>城管执法</t>
    </r>
  </si>
  <si>
    <r>
      <rPr>
        <b/>
        <sz val="10"/>
        <color indexed="8"/>
        <rFont val="宋体"/>
        <charset val="0"/>
      </rPr>
      <t>　</t>
    </r>
    <r>
      <rPr>
        <b/>
        <sz val="10"/>
        <color indexed="8"/>
        <rFont val="Calibri"/>
        <charset val="0"/>
      </rPr>
      <t>[21203]</t>
    </r>
    <r>
      <rPr>
        <b/>
        <sz val="10"/>
        <color indexed="8"/>
        <rFont val="宋体"/>
        <charset val="0"/>
      </rPr>
      <t>城乡社区公共设施</t>
    </r>
  </si>
  <si>
    <r>
      <rPr>
        <sz val="10"/>
        <color rgb="FF000000"/>
        <rFont val="宋体"/>
        <charset val="0"/>
      </rPr>
      <t>　　</t>
    </r>
    <r>
      <rPr>
        <sz val="10"/>
        <color rgb="FF000000"/>
        <rFont val="Calibri"/>
        <charset val="0"/>
      </rPr>
      <t>[2120303]</t>
    </r>
    <r>
      <rPr>
        <sz val="10"/>
        <color rgb="FF000000"/>
        <rFont val="宋体"/>
        <charset val="0"/>
      </rPr>
      <t>小城镇基础设施建设</t>
    </r>
  </si>
  <si>
    <r>
      <rPr>
        <sz val="10"/>
        <color indexed="8"/>
        <rFont val="宋体"/>
        <charset val="0"/>
      </rPr>
      <t>　　</t>
    </r>
    <r>
      <rPr>
        <sz val="10"/>
        <color indexed="8"/>
        <rFont val="Calibri"/>
        <charset val="0"/>
      </rPr>
      <t>[2120399]</t>
    </r>
    <r>
      <rPr>
        <sz val="10"/>
        <color indexed="8"/>
        <rFont val="宋体"/>
        <charset val="0"/>
      </rPr>
      <t>其他城乡社区公共设施支出</t>
    </r>
  </si>
  <si>
    <r>
      <rPr>
        <b/>
        <sz val="10"/>
        <color indexed="8"/>
        <rFont val="宋体"/>
        <charset val="0"/>
      </rPr>
      <t>　</t>
    </r>
    <r>
      <rPr>
        <b/>
        <sz val="10"/>
        <color indexed="8"/>
        <rFont val="Calibri"/>
        <charset val="0"/>
      </rPr>
      <t>[21205]</t>
    </r>
    <r>
      <rPr>
        <b/>
        <sz val="10"/>
        <color indexed="8"/>
        <rFont val="宋体"/>
        <charset val="0"/>
      </rPr>
      <t>城乡社区环境卫生</t>
    </r>
  </si>
  <si>
    <r>
      <rPr>
        <sz val="10"/>
        <color indexed="8"/>
        <rFont val="宋体"/>
        <charset val="0"/>
      </rPr>
      <t>　　</t>
    </r>
    <r>
      <rPr>
        <sz val="10"/>
        <color indexed="8"/>
        <rFont val="Calibri"/>
        <charset val="0"/>
      </rPr>
      <t>[2120501]</t>
    </r>
    <r>
      <rPr>
        <sz val="10"/>
        <color indexed="8"/>
        <rFont val="宋体"/>
        <charset val="0"/>
      </rPr>
      <t>城乡社区环境卫生</t>
    </r>
  </si>
  <si>
    <r>
      <rPr>
        <b/>
        <sz val="10"/>
        <color rgb="FF000000"/>
        <rFont val="宋体"/>
        <charset val="0"/>
      </rPr>
      <t>　</t>
    </r>
    <r>
      <rPr>
        <b/>
        <sz val="10"/>
        <color rgb="FF000000"/>
        <rFont val="Calibri"/>
        <charset val="0"/>
      </rPr>
      <t>[21299]</t>
    </r>
    <r>
      <rPr>
        <b/>
        <sz val="10"/>
        <color rgb="FF000000"/>
        <rFont val="宋体"/>
        <charset val="0"/>
      </rPr>
      <t>其他城乡社区支出</t>
    </r>
  </si>
  <si>
    <r>
      <rPr>
        <sz val="10"/>
        <color rgb="FF000000"/>
        <rFont val="宋体"/>
        <charset val="0"/>
      </rPr>
      <t>　　</t>
    </r>
    <r>
      <rPr>
        <sz val="10"/>
        <color rgb="FF000000"/>
        <rFont val="Calibri"/>
        <charset val="0"/>
      </rPr>
      <t>[2129999]</t>
    </r>
    <r>
      <rPr>
        <sz val="10"/>
        <color rgb="FF000000"/>
        <rFont val="宋体"/>
        <charset val="0"/>
      </rPr>
      <t>其他城乡社区支出</t>
    </r>
  </si>
  <si>
    <r>
      <rPr>
        <b/>
        <sz val="10"/>
        <color indexed="8"/>
        <rFont val="Calibri"/>
        <charset val="0"/>
      </rPr>
      <t>[213]</t>
    </r>
    <r>
      <rPr>
        <b/>
        <sz val="10"/>
        <color indexed="8"/>
        <rFont val="宋体"/>
        <charset val="0"/>
      </rPr>
      <t>农林水支出</t>
    </r>
  </si>
  <si>
    <r>
      <rPr>
        <b/>
        <sz val="10"/>
        <color indexed="8"/>
        <rFont val="宋体"/>
        <charset val="0"/>
      </rPr>
      <t>　</t>
    </r>
    <r>
      <rPr>
        <b/>
        <sz val="10"/>
        <color indexed="8"/>
        <rFont val="Calibri"/>
        <charset val="0"/>
      </rPr>
      <t>[21301]</t>
    </r>
    <r>
      <rPr>
        <b/>
        <sz val="10"/>
        <color indexed="8"/>
        <rFont val="宋体"/>
        <charset val="0"/>
      </rPr>
      <t>农业农村</t>
    </r>
  </si>
  <si>
    <r>
      <rPr>
        <sz val="10"/>
        <color indexed="8"/>
        <rFont val="宋体"/>
        <charset val="0"/>
      </rPr>
      <t>　　</t>
    </r>
    <r>
      <rPr>
        <sz val="10"/>
        <color indexed="8"/>
        <rFont val="Calibri"/>
        <charset val="0"/>
      </rPr>
      <t>[2130101]</t>
    </r>
    <r>
      <rPr>
        <sz val="10"/>
        <color indexed="8"/>
        <rFont val="宋体"/>
        <charset val="0"/>
      </rPr>
      <t>行政运行</t>
    </r>
  </si>
  <si>
    <r>
      <rPr>
        <sz val="10"/>
        <color rgb="FF000000"/>
        <rFont val="宋体"/>
        <charset val="0"/>
      </rPr>
      <t>　　</t>
    </r>
    <r>
      <rPr>
        <sz val="10"/>
        <color rgb="FF000000"/>
        <rFont val="Calibri"/>
        <charset val="0"/>
      </rPr>
      <t>[2130102]</t>
    </r>
    <r>
      <rPr>
        <sz val="10"/>
        <color rgb="FF000000"/>
        <rFont val="宋体"/>
        <charset val="0"/>
      </rPr>
      <t>一般行政管理事务</t>
    </r>
  </si>
  <si>
    <r>
      <rPr>
        <sz val="10"/>
        <color indexed="8"/>
        <rFont val="宋体"/>
        <charset val="0"/>
      </rPr>
      <t>　　</t>
    </r>
    <r>
      <rPr>
        <sz val="10"/>
        <color indexed="8"/>
        <rFont val="Calibri"/>
        <charset val="0"/>
      </rPr>
      <t>[2130104]</t>
    </r>
    <r>
      <rPr>
        <sz val="10"/>
        <color indexed="8"/>
        <rFont val="宋体"/>
        <charset val="0"/>
      </rPr>
      <t>事业运行</t>
    </r>
  </si>
  <si>
    <r>
      <rPr>
        <sz val="10"/>
        <color indexed="8"/>
        <rFont val="宋体"/>
        <charset val="0"/>
      </rPr>
      <t>　　</t>
    </r>
    <r>
      <rPr>
        <sz val="10"/>
        <color indexed="8"/>
        <rFont val="Calibri"/>
        <charset val="0"/>
      </rPr>
      <t>[2130108]</t>
    </r>
    <r>
      <rPr>
        <sz val="10"/>
        <color indexed="8"/>
        <rFont val="宋体"/>
        <charset val="0"/>
      </rPr>
      <t>病虫害控制</t>
    </r>
  </si>
  <si>
    <r>
      <rPr>
        <sz val="10"/>
        <color rgb="FF000000"/>
        <rFont val="宋体"/>
        <charset val="0"/>
      </rPr>
      <t>　　</t>
    </r>
    <r>
      <rPr>
        <sz val="10"/>
        <color rgb="FF000000"/>
        <rFont val="Calibri"/>
        <charset val="0"/>
      </rPr>
      <t>[2130119]</t>
    </r>
    <r>
      <rPr>
        <sz val="10"/>
        <color rgb="FF000000"/>
        <rFont val="宋体"/>
        <charset val="0"/>
      </rPr>
      <t>防灾救灾</t>
    </r>
  </si>
  <si>
    <r>
      <rPr>
        <sz val="10"/>
        <color indexed="8"/>
        <rFont val="宋体"/>
        <charset val="0"/>
      </rPr>
      <t>　　</t>
    </r>
    <r>
      <rPr>
        <sz val="10"/>
        <color indexed="8"/>
        <rFont val="Calibri"/>
        <charset val="0"/>
      </rPr>
      <t>[2130120]</t>
    </r>
    <r>
      <rPr>
        <sz val="10"/>
        <color indexed="8"/>
        <rFont val="宋体"/>
        <charset val="0"/>
      </rPr>
      <t>稳定农民收入补贴</t>
    </r>
  </si>
  <si>
    <r>
      <rPr>
        <sz val="10"/>
        <color rgb="FF000000"/>
        <rFont val="宋体"/>
        <charset val="0"/>
      </rPr>
      <t>　　</t>
    </r>
    <r>
      <rPr>
        <sz val="10"/>
        <color rgb="FF000000"/>
        <rFont val="Calibri"/>
        <charset val="0"/>
      </rPr>
      <t>[2130122]</t>
    </r>
    <r>
      <rPr>
        <sz val="10"/>
        <color rgb="FF000000"/>
        <rFont val="宋体"/>
        <charset val="0"/>
      </rPr>
      <t>农业生产发展</t>
    </r>
  </si>
  <si>
    <r>
      <rPr>
        <sz val="10"/>
        <color rgb="FF000000"/>
        <rFont val="宋体"/>
        <charset val="0"/>
      </rPr>
      <t>　　</t>
    </r>
    <r>
      <rPr>
        <sz val="10"/>
        <color rgb="FF000000"/>
        <rFont val="Calibri"/>
        <charset val="0"/>
      </rPr>
      <t>[2130126]</t>
    </r>
    <r>
      <rPr>
        <sz val="10"/>
        <color rgb="FF000000"/>
        <rFont val="宋体"/>
        <charset val="0"/>
      </rPr>
      <t>农村社会事业</t>
    </r>
  </si>
  <si>
    <r>
      <rPr>
        <sz val="10"/>
        <color rgb="FF000000"/>
        <rFont val="宋体"/>
        <charset val="0"/>
      </rPr>
      <t>　　</t>
    </r>
    <r>
      <rPr>
        <sz val="10"/>
        <color rgb="FF000000"/>
        <rFont val="Calibri"/>
        <charset val="0"/>
      </rPr>
      <t>[2130135]</t>
    </r>
    <r>
      <rPr>
        <sz val="10"/>
        <color rgb="FF000000"/>
        <rFont val="宋体"/>
        <charset val="0"/>
      </rPr>
      <t>农业资源保护修复与利用</t>
    </r>
  </si>
  <si>
    <r>
      <rPr>
        <sz val="10"/>
        <color rgb="FF000000"/>
        <rFont val="宋体"/>
        <charset val="0"/>
      </rPr>
      <t>　　</t>
    </r>
    <r>
      <rPr>
        <sz val="10"/>
        <color rgb="FF000000"/>
        <rFont val="Calibri"/>
        <charset val="0"/>
      </rPr>
      <t>[2130142]</t>
    </r>
    <r>
      <rPr>
        <sz val="10"/>
        <color rgb="FF000000"/>
        <rFont val="宋体"/>
        <charset val="0"/>
      </rPr>
      <t>农村道路建设</t>
    </r>
  </si>
  <si>
    <r>
      <rPr>
        <sz val="10"/>
        <color indexed="8"/>
        <rFont val="宋体"/>
        <charset val="0"/>
      </rPr>
      <t>　　</t>
    </r>
    <r>
      <rPr>
        <sz val="10"/>
        <color indexed="8"/>
        <rFont val="Calibri"/>
        <charset val="0"/>
      </rPr>
      <t>[2130152]</t>
    </r>
    <r>
      <rPr>
        <sz val="10"/>
        <color indexed="8"/>
        <rFont val="宋体"/>
        <charset val="0"/>
      </rPr>
      <t>对高校毕业生到基层任职补助</t>
    </r>
  </si>
  <si>
    <r>
      <rPr>
        <sz val="10"/>
        <color rgb="FF000000"/>
        <rFont val="宋体"/>
        <charset val="0"/>
      </rPr>
      <t>　　</t>
    </r>
    <r>
      <rPr>
        <sz val="10"/>
        <color rgb="FF000000"/>
        <rFont val="Calibri"/>
        <charset val="0"/>
      </rPr>
      <t>[2130153]</t>
    </r>
    <r>
      <rPr>
        <sz val="10"/>
        <color rgb="FF000000"/>
        <rFont val="宋体"/>
        <charset val="0"/>
      </rPr>
      <t>农田建设</t>
    </r>
  </si>
  <si>
    <r>
      <rPr>
        <sz val="10"/>
        <color indexed="8"/>
        <rFont val="宋体"/>
        <charset val="0"/>
      </rPr>
      <t>　　</t>
    </r>
    <r>
      <rPr>
        <sz val="10"/>
        <color indexed="8"/>
        <rFont val="Calibri"/>
        <charset val="0"/>
      </rPr>
      <t>[2130199]</t>
    </r>
    <r>
      <rPr>
        <sz val="10"/>
        <color indexed="8"/>
        <rFont val="宋体"/>
        <charset val="0"/>
      </rPr>
      <t>其他农业农村支出</t>
    </r>
  </si>
  <si>
    <r>
      <rPr>
        <b/>
        <sz val="10"/>
        <color indexed="8"/>
        <rFont val="宋体"/>
        <charset val="0"/>
      </rPr>
      <t>　</t>
    </r>
    <r>
      <rPr>
        <b/>
        <sz val="10"/>
        <color indexed="8"/>
        <rFont val="Calibri"/>
        <charset val="0"/>
      </rPr>
      <t>[21302]</t>
    </r>
    <r>
      <rPr>
        <b/>
        <sz val="10"/>
        <color indexed="8"/>
        <rFont val="宋体"/>
        <charset val="0"/>
      </rPr>
      <t>林业和草原</t>
    </r>
  </si>
  <si>
    <r>
      <rPr>
        <sz val="10"/>
        <color indexed="8"/>
        <rFont val="宋体"/>
        <charset val="0"/>
      </rPr>
      <t>　　</t>
    </r>
    <r>
      <rPr>
        <sz val="10"/>
        <color indexed="8"/>
        <rFont val="Calibri"/>
        <charset val="0"/>
      </rPr>
      <t>[2130204]</t>
    </r>
    <r>
      <rPr>
        <sz val="10"/>
        <color indexed="8"/>
        <rFont val="宋体"/>
        <charset val="0"/>
      </rPr>
      <t>事业机构</t>
    </r>
  </si>
  <si>
    <r>
      <rPr>
        <sz val="10"/>
        <color rgb="FF000000"/>
        <rFont val="宋体"/>
        <charset val="0"/>
      </rPr>
      <t>　　</t>
    </r>
    <r>
      <rPr>
        <sz val="10"/>
        <color rgb="FF000000"/>
        <rFont val="Calibri"/>
        <charset val="0"/>
      </rPr>
      <t>[2130205]</t>
    </r>
    <r>
      <rPr>
        <sz val="10"/>
        <color rgb="FF000000"/>
        <rFont val="宋体"/>
        <charset val="0"/>
      </rPr>
      <t>森林资源培育</t>
    </r>
  </si>
  <si>
    <r>
      <rPr>
        <sz val="10"/>
        <color rgb="FF000000"/>
        <rFont val="宋体"/>
        <charset val="0"/>
      </rPr>
      <t>　　</t>
    </r>
    <r>
      <rPr>
        <sz val="10"/>
        <color rgb="FF000000"/>
        <rFont val="Calibri"/>
        <charset val="0"/>
      </rPr>
      <t>[2130209]</t>
    </r>
    <r>
      <rPr>
        <sz val="10"/>
        <color rgb="FF000000"/>
        <rFont val="宋体"/>
        <charset val="0"/>
      </rPr>
      <t>森林生态效益补偿</t>
    </r>
  </si>
  <si>
    <r>
      <rPr>
        <sz val="10"/>
        <color rgb="FF000000"/>
        <rFont val="宋体"/>
        <charset val="0"/>
      </rPr>
      <t>　　</t>
    </r>
    <r>
      <rPr>
        <sz val="10"/>
        <color rgb="FF000000"/>
        <rFont val="Calibri"/>
        <charset val="0"/>
      </rPr>
      <t>[2130223]</t>
    </r>
    <r>
      <rPr>
        <sz val="10"/>
        <color rgb="FF000000"/>
        <rFont val="宋体"/>
        <charset val="0"/>
      </rPr>
      <t>信息管理</t>
    </r>
  </si>
  <si>
    <r>
      <rPr>
        <sz val="10"/>
        <color rgb="FF000000"/>
        <rFont val="宋体"/>
        <charset val="0"/>
      </rPr>
      <t>　　</t>
    </r>
    <r>
      <rPr>
        <sz val="10"/>
        <color rgb="FF000000"/>
        <rFont val="Calibri"/>
        <charset val="0"/>
      </rPr>
      <t>[2130234]</t>
    </r>
    <r>
      <rPr>
        <sz val="10"/>
        <color rgb="FF000000"/>
        <rFont val="宋体"/>
        <charset val="0"/>
      </rPr>
      <t>林业草原防灾减灾</t>
    </r>
  </si>
  <si>
    <r>
      <rPr>
        <sz val="10"/>
        <color indexed="8"/>
        <rFont val="宋体"/>
        <charset val="0"/>
      </rPr>
      <t>　　</t>
    </r>
    <r>
      <rPr>
        <sz val="10"/>
        <color indexed="8"/>
        <rFont val="Calibri"/>
        <charset val="0"/>
      </rPr>
      <t>[2130299]</t>
    </r>
    <r>
      <rPr>
        <sz val="10"/>
        <color indexed="8"/>
        <rFont val="宋体"/>
        <charset val="0"/>
      </rPr>
      <t>其他林业和草原支出</t>
    </r>
  </si>
  <si>
    <r>
      <rPr>
        <b/>
        <sz val="10"/>
        <color indexed="8"/>
        <rFont val="宋体"/>
        <charset val="0"/>
      </rPr>
      <t>　</t>
    </r>
    <r>
      <rPr>
        <b/>
        <sz val="10"/>
        <color indexed="8"/>
        <rFont val="Calibri"/>
        <charset val="0"/>
      </rPr>
      <t>[21303]</t>
    </r>
    <r>
      <rPr>
        <b/>
        <sz val="10"/>
        <color indexed="8"/>
        <rFont val="宋体"/>
        <charset val="0"/>
      </rPr>
      <t>水利</t>
    </r>
  </si>
  <si>
    <r>
      <rPr>
        <sz val="10"/>
        <color indexed="8"/>
        <rFont val="宋体"/>
        <charset val="0"/>
      </rPr>
      <t>　　</t>
    </r>
    <r>
      <rPr>
        <sz val="10"/>
        <color indexed="8"/>
        <rFont val="Calibri"/>
        <charset val="0"/>
      </rPr>
      <t>[2130302]</t>
    </r>
    <r>
      <rPr>
        <sz val="10"/>
        <color indexed="8"/>
        <rFont val="宋体"/>
        <charset val="0"/>
      </rPr>
      <t>一般行政管理事务</t>
    </r>
  </si>
  <si>
    <r>
      <rPr>
        <sz val="10"/>
        <color rgb="FF000000"/>
        <rFont val="宋体"/>
        <charset val="0"/>
      </rPr>
      <t>　　</t>
    </r>
    <r>
      <rPr>
        <sz val="10"/>
        <color rgb="FF000000"/>
        <rFont val="Calibri"/>
        <charset val="0"/>
      </rPr>
      <t>[2130310]</t>
    </r>
    <r>
      <rPr>
        <sz val="10"/>
        <color rgb="FF000000"/>
        <rFont val="宋体"/>
        <charset val="0"/>
      </rPr>
      <t>水土保持</t>
    </r>
  </si>
  <si>
    <r>
      <rPr>
        <sz val="10"/>
        <color indexed="8"/>
        <rFont val="宋体"/>
        <charset val="0"/>
      </rPr>
      <t>　　</t>
    </r>
    <r>
      <rPr>
        <sz val="10"/>
        <color indexed="8"/>
        <rFont val="Calibri"/>
        <charset val="0"/>
      </rPr>
      <t>[2130314]</t>
    </r>
    <r>
      <rPr>
        <sz val="10"/>
        <color indexed="8"/>
        <rFont val="宋体"/>
        <charset val="0"/>
      </rPr>
      <t>防汛</t>
    </r>
  </si>
  <si>
    <r>
      <rPr>
        <sz val="10"/>
        <color rgb="FF000000"/>
        <rFont val="宋体"/>
        <charset val="0"/>
      </rPr>
      <t>　　</t>
    </r>
    <r>
      <rPr>
        <sz val="10"/>
        <color rgb="FF000000"/>
        <rFont val="Calibri"/>
        <charset val="0"/>
      </rPr>
      <t>[2130316]</t>
    </r>
    <r>
      <rPr>
        <sz val="10"/>
        <color rgb="FF000000"/>
        <rFont val="宋体"/>
        <charset val="0"/>
      </rPr>
      <t>农村水利</t>
    </r>
  </si>
  <si>
    <r>
      <rPr>
        <sz val="10"/>
        <color indexed="8"/>
        <rFont val="宋体"/>
        <charset val="0"/>
      </rPr>
      <t>　　</t>
    </r>
    <r>
      <rPr>
        <sz val="10"/>
        <color indexed="8"/>
        <rFont val="Calibri"/>
        <charset val="0"/>
      </rPr>
      <t>[2130399]</t>
    </r>
    <r>
      <rPr>
        <sz val="10"/>
        <color indexed="8"/>
        <rFont val="宋体"/>
        <charset val="0"/>
      </rPr>
      <t>其他水利支出</t>
    </r>
  </si>
  <si>
    <r>
      <rPr>
        <b/>
        <sz val="10"/>
        <color indexed="8"/>
        <rFont val="宋体"/>
        <charset val="0"/>
      </rPr>
      <t>　</t>
    </r>
    <r>
      <rPr>
        <b/>
        <sz val="10"/>
        <color indexed="8"/>
        <rFont val="Calibri"/>
        <charset val="0"/>
      </rPr>
      <t>[21305]</t>
    </r>
    <r>
      <rPr>
        <b/>
        <sz val="10"/>
        <color indexed="8"/>
        <rFont val="宋体"/>
        <charset val="0"/>
      </rPr>
      <t>巩固脱贫攻坚成果衔接乡村振兴</t>
    </r>
  </si>
  <si>
    <r>
      <rPr>
        <sz val="10"/>
        <color indexed="8"/>
        <rFont val="宋体"/>
        <charset val="0"/>
      </rPr>
      <t>　　</t>
    </r>
    <r>
      <rPr>
        <sz val="10"/>
        <color indexed="8"/>
        <rFont val="Calibri"/>
        <charset val="0"/>
      </rPr>
      <t>[2130504]</t>
    </r>
    <r>
      <rPr>
        <sz val="10"/>
        <color indexed="8"/>
        <rFont val="宋体"/>
        <charset val="0"/>
      </rPr>
      <t>农村基础设施建设</t>
    </r>
  </si>
  <si>
    <r>
      <rPr>
        <sz val="10"/>
        <color rgb="FF000000"/>
        <rFont val="宋体"/>
        <charset val="0"/>
      </rPr>
      <t>　　</t>
    </r>
    <r>
      <rPr>
        <sz val="10"/>
        <color rgb="FF000000"/>
        <rFont val="Calibri"/>
        <charset val="0"/>
      </rPr>
      <t>[2130505]</t>
    </r>
    <r>
      <rPr>
        <sz val="10"/>
        <color rgb="FF000000"/>
        <rFont val="宋体"/>
        <charset val="0"/>
      </rPr>
      <t>生产发展</t>
    </r>
  </si>
  <si>
    <r>
      <rPr>
        <sz val="10"/>
        <color rgb="FF000000"/>
        <rFont val="宋体"/>
        <charset val="0"/>
      </rPr>
      <t>　　</t>
    </r>
    <r>
      <rPr>
        <sz val="10"/>
        <color rgb="FF000000"/>
        <rFont val="Calibri"/>
        <charset val="0"/>
      </rPr>
      <t>[2130507]</t>
    </r>
    <r>
      <rPr>
        <sz val="10"/>
        <color rgb="FF000000"/>
        <rFont val="宋体"/>
        <charset val="0"/>
      </rPr>
      <t>贷款奖补和贴息</t>
    </r>
  </si>
  <si>
    <r>
      <rPr>
        <sz val="10"/>
        <color indexed="8"/>
        <rFont val="宋体"/>
        <charset val="0"/>
      </rPr>
      <t>　　</t>
    </r>
    <r>
      <rPr>
        <sz val="10"/>
        <color indexed="8"/>
        <rFont val="Calibri"/>
        <charset val="0"/>
      </rPr>
      <t>[2130599]</t>
    </r>
    <r>
      <rPr>
        <sz val="10"/>
        <color indexed="8"/>
        <rFont val="宋体"/>
        <charset val="0"/>
      </rPr>
      <t>其他巩固脱贫攻坚成果衔接乡村振兴支出</t>
    </r>
  </si>
  <si>
    <r>
      <rPr>
        <b/>
        <sz val="10"/>
        <color indexed="8"/>
        <rFont val="宋体"/>
        <charset val="0"/>
      </rPr>
      <t>　</t>
    </r>
    <r>
      <rPr>
        <b/>
        <sz val="10"/>
        <color indexed="8"/>
        <rFont val="Calibri"/>
        <charset val="0"/>
      </rPr>
      <t>[21307]</t>
    </r>
    <r>
      <rPr>
        <b/>
        <sz val="10"/>
        <color indexed="8"/>
        <rFont val="宋体"/>
        <charset val="0"/>
      </rPr>
      <t>农村综合改革</t>
    </r>
  </si>
  <si>
    <r>
      <rPr>
        <sz val="10"/>
        <color rgb="FF000000"/>
        <rFont val="宋体"/>
        <charset val="0"/>
      </rPr>
      <t>　　</t>
    </r>
    <r>
      <rPr>
        <sz val="10"/>
        <color rgb="FF000000"/>
        <rFont val="Calibri"/>
        <charset val="0"/>
      </rPr>
      <t>[2130701]</t>
    </r>
    <r>
      <rPr>
        <sz val="10"/>
        <color rgb="FF000000"/>
        <rFont val="宋体"/>
        <charset val="0"/>
      </rPr>
      <t>对村级公益事业建设的补助</t>
    </r>
  </si>
  <si>
    <r>
      <rPr>
        <sz val="10"/>
        <color indexed="8"/>
        <rFont val="宋体"/>
        <charset val="0"/>
      </rPr>
      <t>　　</t>
    </r>
    <r>
      <rPr>
        <sz val="10"/>
        <color indexed="8"/>
        <rFont val="Calibri"/>
        <charset val="0"/>
      </rPr>
      <t>[2130705]</t>
    </r>
    <r>
      <rPr>
        <sz val="10"/>
        <color indexed="8"/>
        <rFont val="宋体"/>
        <charset val="0"/>
      </rPr>
      <t>对村民委员会和村党支部的补助</t>
    </r>
  </si>
  <si>
    <r>
      <rPr>
        <sz val="10"/>
        <color indexed="8"/>
        <rFont val="宋体"/>
        <charset val="0"/>
      </rPr>
      <t>　　</t>
    </r>
    <r>
      <rPr>
        <sz val="10"/>
        <color indexed="8"/>
        <rFont val="Calibri"/>
        <charset val="0"/>
      </rPr>
      <t>[2130799]</t>
    </r>
    <r>
      <rPr>
        <sz val="10"/>
        <color indexed="8"/>
        <rFont val="宋体"/>
        <charset val="0"/>
      </rPr>
      <t>其他农村综合改革支出</t>
    </r>
  </si>
  <si>
    <r>
      <rPr>
        <b/>
        <sz val="10"/>
        <color indexed="8"/>
        <rFont val="宋体"/>
        <charset val="0"/>
      </rPr>
      <t>　</t>
    </r>
    <r>
      <rPr>
        <b/>
        <sz val="10"/>
        <color indexed="8"/>
        <rFont val="Calibri"/>
        <charset val="0"/>
      </rPr>
      <t>[21308]</t>
    </r>
    <r>
      <rPr>
        <b/>
        <sz val="10"/>
        <color indexed="8"/>
        <rFont val="宋体"/>
        <charset val="0"/>
      </rPr>
      <t>普惠金融发展支出</t>
    </r>
  </si>
  <si>
    <r>
      <rPr>
        <sz val="10"/>
        <color indexed="8"/>
        <rFont val="宋体"/>
        <charset val="0"/>
      </rPr>
      <t>　　</t>
    </r>
    <r>
      <rPr>
        <sz val="10"/>
        <color indexed="8"/>
        <rFont val="Calibri"/>
        <charset val="0"/>
      </rPr>
      <t>[2130803]</t>
    </r>
    <r>
      <rPr>
        <sz val="10"/>
        <color indexed="8"/>
        <rFont val="宋体"/>
        <charset val="0"/>
      </rPr>
      <t>农业保险保费补贴</t>
    </r>
  </si>
  <si>
    <r>
      <rPr>
        <b/>
        <sz val="10"/>
        <color rgb="FF000000"/>
        <rFont val="宋体"/>
        <charset val="0"/>
      </rPr>
      <t>　</t>
    </r>
    <r>
      <rPr>
        <b/>
        <sz val="10"/>
        <color rgb="FF000000"/>
        <rFont val="Calibri"/>
        <charset val="0"/>
      </rPr>
      <t>[21399]</t>
    </r>
    <r>
      <rPr>
        <b/>
        <sz val="10"/>
        <color rgb="FF000000"/>
        <rFont val="宋体"/>
        <charset val="0"/>
      </rPr>
      <t>其他农林水支出</t>
    </r>
  </si>
  <si>
    <r>
      <rPr>
        <sz val="10"/>
        <color rgb="FF000000"/>
        <rFont val="宋体"/>
        <charset val="0"/>
      </rPr>
      <t>　　</t>
    </r>
    <r>
      <rPr>
        <sz val="10"/>
        <color rgb="FF000000"/>
        <rFont val="Calibri"/>
        <charset val="0"/>
      </rPr>
      <t>[2139999]</t>
    </r>
    <r>
      <rPr>
        <sz val="10"/>
        <color rgb="FF000000"/>
        <rFont val="宋体"/>
        <charset val="0"/>
      </rPr>
      <t>其他农林水支出</t>
    </r>
  </si>
  <si>
    <r>
      <rPr>
        <b/>
        <sz val="10"/>
        <color indexed="8"/>
        <rFont val="Calibri"/>
        <charset val="0"/>
      </rPr>
      <t>[214]</t>
    </r>
    <r>
      <rPr>
        <b/>
        <sz val="10"/>
        <color indexed="8"/>
        <rFont val="宋体"/>
        <charset val="0"/>
      </rPr>
      <t>交通运输支出</t>
    </r>
  </si>
  <si>
    <r>
      <rPr>
        <b/>
        <sz val="10"/>
        <color rgb="FF000000"/>
        <rFont val="宋体"/>
        <charset val="0"/>
      </rPr>
      <t>　</t>
    </r>
    <r>
      <rPr>
        <b/>
        <sz val="10"/>
        <color rgb="FF000000"/>
        <rFont val="Calibri"/>
        <charset val="0"/>
      </rPr>
      <t>[21401]</t>
    </r>
    <r>
      <rPr>
        <b/>
        <sz val="10"/>
        <color rgb="FF000000"/>
        <rFont val="宋体"/>
        <charset val="0"/>
      </rPr>
      <t>公路水路运输</t>
    </r>
  </si>
  <si>
    <r>
      <rPr>
        <sz val="10"/>
        <color rgb="FF000000"/>
        <rFont val="宋体"/>
        <charset val="0"/>
      </rPr>
      <t>　　</t>
    </r>
    <r>
      <rPr>
        <sz val="10"/>
        <color rgb="FF000000"/>
        <rFont val="Calibri"/>
        <charset val="0"/>
      </rPr>
      <t>[2140104]</t>
    </r>
    <r>
      <rPr>
        <sz val="10"/>
        <color rgb="FF000000"/>
        <rFont val="宋体"/>
        <charset val="0"/>
      </rPr>
      <t>公路建设</t>
    </r>
  </si>
  <si>
    <r>
      <rPr>
        <b/>
        <sz val="10"/>
        <color indexed="8"/>
        <rFont val="宋体"/>
        <charset val="0"/>
      </rPr>
      <t>　</t>
    </r>
    <r>
      <rPr>
        <b/>
        <sz val="10"/>
        <color indexed="8"/>
        <rFont val="Calibri"/>
        <charset val="0"/>
      </rPr>
      <t>[21499]</t>
    </r>
    <r>
      <rPr>
        <b/>
        <sz val="10"/>
        <color indexed="8"/>
        <rFont val="宋体"/>
        <charset val="0"/>
      </rPr>
      <t>其他交通运输支出</t>
    </r>
  </si>
  <si>
    <r>
      <rPr>
        <sz val="10"/>
        <color indexed="8"/>
        <rFont val="宋体"/>
        <charset val="0"/>
      </rPr>
      <t>　　</t>
    </r>
    <r>
      <rPr>
        <sz val="10"/>
        <color indexed="8"/>
        <rFont val="Calibri"/>
        <charset val="0"/>
      </rPr>
      <t>[2149901]</t>
    </r>
    <r>
      <rPr>
        <sz val="10"/>
        <color indexed="8"/>
        <rFont val="宋体"/>
        <charset val="0"/>
      </rPr>
      <t>公共交通运营补助</t>
    </r>
  </si>
  <si>
    <r>
      <rPr>
        <sz val="10"/>
        <color rgb="FF000000"/>
        <rFont val="宋体"/>
        <charset val="0"/>
      </rPr>
      <t>　　</t>
    </r>
    <r>
      <rPr>
        <sz val="10"/>
        <color rgb="FF000000"/>
        <rFont val="Calibri"/>
        <charset val="0"/>
      </rPr>
      <t>[2149999]</t>
    </r>
    <r>
      <rPr>
        <sz val="10"/>
        <color rgb="FF000000"/>
        <rFont val="宋体"/>
        <charset val="0"/>
      </rPr>
      <t>其他交通运输支出</t>
    </r>
  </si>
  <si>
    <r>
      <rPr>
        <b/>
        <sz val="10"/>
        <color indexed="8"/>
        <rFont val="Calibri"/>
        <charset val="0"/>
      </rPr>
      <t>[215]</t>
    </r>
    <r>
      <rPr>
        <b/>
        <sz val="10"/>
        <color indexed="8"/>
        <rFont val="宋体"/>
        <charset val="0"/>
      </rPr>
      <t>资源勘探工业信息等支出</t>
    </r>
  </si>
  <si>
    <r>
      <rPr>
        <b/>
        <sz val="10"/>
        <color indexed="8"/>
        <rFont val="宋体"/>
        <charset val="0"/>
      </rPr>
      <t>　</t>
    </r>
    <r>
      <rPr>
        <b/>
        <sz val="10"/>
        <color indexed="8"/>
        <rFont val="Calibri"/>
        <charset val="0"/>
      </rPr>
      <t>[21501]</t>
    </r>
    <r>
      <rPr>
        <b/>
        <sz val="10"/>
        <color indexed="8"/>
        <rFont val="宋体"/>
        <charset val="0"/>
      </rPr>
      <t>资源勘探开发</t>
    </r>
  </si>
  <si>
    <r>
      <rPr>
        <sz val="10"/>
        <color indexed="8"/>
        <rFont val="宋体"/>
        <charset val="0"/>
      </rPr>
      <t>　　</t>
    </r>
    <r>
      <rPr>
        <sz val="10"/>
        <color indexed="8"/>
        <rFont val="Calibri"/>
        <charset val="0"/>
      </rPr>
      <t>[2150101]</t>
    </r>
    <r>
      <rPr>
        <sz val="10"/>
        <color indexed="8"/>
        <rFont val="宋体"/>
        <charset val="0"/>
      </rPr>
      <t>行政运行</t>
    </r>
  </si>
  <si>
    <r>
      <rPr>
        <sz val="10"/>
        <color rgb="FF000000"/>
        <rFont val="宋体"/>
        <charset val="0"/>
      </rPr>
      <t>　　</t>
    </r>
    <r>
      <rPr>
        <sz val="10"/>
        <color rgb="FF000000"/>
        <rFont val="Calibri"/>
        <charset val="0"/>
      </rPr>
      <t>[2150102]</t>
    </r>
    <r>
      <rPr>
        <sz val="10"/>
        <color rgb="FF000000"/>
        <rFont val="宋体"/>
        <charset val="0"/>
      </rPr>
      <t>一般行政管理事务</t>
    </r>
  </si>
  <si>
    <r>
      <rPr>
        <b/>
        <sz val="10"/>
        <color rgb="FF000000"/>
        <rFont val="宋体"/>
        <charset val="0"/>
      </rPr>
      <t>　</t>
    </r>
    <r>
      <rPr>
        <b/>
        <sz val="10"/>
        <color rgb="FF000000"/>
        <rFont val="Calibri"/>
        <charset val="0"/>
      </rPr>
      <t>[21502]</t>
    </r>
    <r>
      <rPr>
        <b/>
        <sz val="10"/>
        <color rgb="FF000000"/>
        <rFont val="宋体"/>
        <charset val="0"/>
      </rPr>
      <t>制造业</t>
    </r>
  </si>
  <si>
    <r>
      <rPr>
        <sz val="10"/>
        <color rgb="FF000000"/>
        <rFont val="宋体"/>
        <charset val="0"/>
      </rPr>
      <t>　　</t>
    </r>
    <r>
      <rPr>
        <sz val="10"/>
        <color rgb="FF000000"/>
        <rFont val="Calibri"/>
        <charset val="0"/>
      </rPr>
      <t>[2150299]</t>
    </r>
    <r>
      <rPr>
        <sz val="10"/>
        <color rgb="FF000000"/>
        <rFont val="宋体"/>
        <charset val="0"/>
      </rPr>
      <t>其他制造业支出</t>
    </r>
  </si>
  <si>
    <r>
      <rPr>
        <b/>
        <sz val="10"/>
        <color indexed="8"/>
        <rFont val="宋体"/>
        <charset val="0"/>
      </rPr>
      <t>　</t>
    </r>
    <r>
      <rPr>
        <b/>
        <sz val="10"/>
        <color indexed="8"/>
        <rFont val="Calibri"/>
        <charset val="0"/>
      </rPr>
      <t>[21508]</t>
    </r>
    <r>
      <rPr>
        <b/>
        <sz val="10"/>
        <color indexed="8"/>
        <rFont val="宋体"/>
        <charset val="0"/>
      </rPr>
      <t>支持中小企业发展和管理支出</t>
    </r>
  </si>
  <si>
    <r>
      <rPr>
        <sz val="10"/>
        <color indexed="8"/>
        <rFont val="宋体"/>
        <charset val="0"/>
      </rPr>
      <t>　　</t>
    </r>
    <r>
      <rPr>
        <sz val="10"/>
        <color indexed="8"/>
        <rFont val="Calibri"/>
        <charset val="0"/>
      </rPr>
      <t>[2150801]</t>
    </r>
    <r>
      <rPr>
        <sz val="10"/>
        <color indexed="8"/>
        <rFont val="宋体"/>
        <charset val="0"/>
      </rPr>
      <t>行政运行</t>
    </r>
  </si>
  <si>
    <r>
      <rPr>
        <sz val="10"/>
        <color indexed="8"/>
        <rFont val="宋体"/>
        <charset val="0"/>
      </rPr>
      <t>　　</t>
    </r>
    <r>
      <rPr>
        <sz val="10"/>
        <color indexed="8"/>
        <rFont val="Calibri"/>
        <charset val="0"/>
      </rPr>
      <t>[2150802]</t>
    </r>
    <r>
      <rPr>
        <sz val="10"/>
        <color indexed="8"/>
        <rFont val="宋体"/>
        <charset val="0"/>
      </rPr>
      <t>一般行政管理事务</t>
    </r>
  </si>
  <si>
    <r>
      <rPr>
        <sz val="10"/>
        <color rgb="FF000000"/>
        <rFont val="宋体"/>
        <charset val="0"/>
      </rPr>
      <t>　　</t>
    </r>
    <r>
      <rPr>
        <sz val="10"/>
        <color rgb="FF000000"/>
        <rFont val="Calibri"/>
        <charset val="0"/>
      </rPr>
      <t>[2150805]</t>
    </r>
    <r>
      <rPr>
        <sz val="10"/>
        <color rgb="FF000000"/>
        <rFont val="宋体"/>
        <charset val="0"/>
      </rPr>
      <t>中小企业发展专项</t>
    </r>
  </si>
  <si>
    <r>
      <rPr>
        <sz val="10"/>
        <color indexed="8"/>
        <rFont val="宋体"/>
        <charset val="0"/>
      </rPr>
      <t>　　</t>
    </r>
    <r>
      <rPr>
        <sz val="10"/>
        <color indexed="8"/>
        <rFont val="Calibri"/>
        <charset val="0"/>
      </rPr>
      <t>[2150899]</t>
    </r>
    <r>
      <rPr>
        <sz val="10"/>
        <color indexed="8"/>
        <rFont val="宋体"/>
        <charset val="0"/>
      </rPr>
      <t>其他支持中小企业发展和管理支出</t>
    </r>
  </si>
  <si>
    <r>
      <rPr>
        <b/>
        <sz val="10"/>
        <color rgb="FF000000"/>
        <rFont val="Calibri"/>
        <charset val="0"/>
      </rPr>
      <t>[216]</t>
    </r>
    <r>
      <rPr>
        <b/>
        <sz val="10"/>
        <color rgb="FF000000"/>
        <rFont val="宋体"/>
        <charset val="0"/>
      </rPr>
      <t>商业服务业等支出</t>
    </r>
  </si>
  <si>
    <r>
      <rPr>
        <b/>
        <sz val="10"/>
        <color rgb="FF000000"/>
        <rFont val="宋体"/>
        <charset val="0"/>
      </rPr>
      <t>　</t>
    </r>
    <r>
      <rPr>
        <b/>
        <sz val="10"/>
        <color rgb="FF000000"/>
        <rFont val="Calibri"/>
        <charset val="0"/>
      </rPr>
      <t>[21606]</t>
    </r>
    <r>
      <rPr>
        <b/>
        <sz val="10"/>
        <color rgb="FF000000"/>
        <rFont val="宋体"/>
        <charset val="0"/>
      </rPr>
      <t>涉外发展服务支出</t>
    </r>
  </si>
  <si>
    <r>
      <rPr>
        <sz val="10"/>
        <color rgb="FF000000"/>
        <rFont val="宋体"/>
        <charset val="0"/>
      </rPr>
      <t>　　</t>
    </r>
    <r>
      <rPr>
        <sz val="10"/>
        <color rgb="FF000000"/>
        <rFont val="Calibri"/>
        <charset val="0"/>
      </rPr>
      <t>[2160699]</t>
    </r>
    <r>
      <rPr>
        <sz val="10"/>
        <color rgb="FF000000"/>
        <rFont val="宋体"/>
        <charset val="0"/>
      </rPr>
      <t>行政运行</t>
    </r>
  </si>
  <si>
    <r>
      <rPr>
        <b/>
        <sz val="10"/>
        <color rgb="FF000000"/>
        <rFont val="宋体"/>
        <charset val="0"/>
      </rPr>
      <t>　</t>
    </r>
    <r>
      <rPr>
        <b/>
        <sz val="10"/>
        <color rgb="FF000000"/>
        <rFont val="Calibri"/>
        <charset val="0"/>
      </rPr>
      <t>[21699]</t>
    </r>
    <r>
      <rPr>
        <b/>
        <sz val="10"/>
        <color rgb="FF000000"/>
        <rFont val="宋体"/>
        <charset val="0"/>
      </rPr>
      <t>其他商业服务业等支出</t>
    </r>
  </si>
  <si>
    <r>
      <rPr>
        <sz val="10"/>
        <color rgb="FF000000"/>
        <rFont val="宋体"/>
        <charset val="0"/>
      </rPr>
      <t>　　</t>
    </r>
    <r>
      <rPr>
        <sz val="10"/>
        <color rgb="FF000000"/>
        <rFont val="Calibri"/>
        <charset val="0"/>
      </rPr>
      <t>[2169999]</t>
    </r>
    <r>
      <rPr>
        <sz val="10"/>
        <color rgb="FF000000"/>
        <rFont val="宋体"/>
        <charset val="0"/>
      </rPr>
      <t>其他商业服务业等支出</t>
    </r>
  </si>
  <si>
    <r>
      <rPr>
        <b/>
        <sz val="10"/>
        <color rgb="FF000000"/>
        <rFont val="Calibri"/>
        <charset val="0"/>
      </rPr>
      <t>[217]</t>
    </r>
    <r>
      <rPr>
        <b/>
        <sz val="10"/>
        <color rgb="FF000000"/>
        <rFont val="宋体"/>
        <charset val="0"/>
      </rPr>
      <t>金融支出</t>
    </r>
  </si>
  <si>
    <r>
      <rPr>
        <b/>
        <sz val="10"/>
        <color rgb="FF000000"/>
        <rFont val="宋体"/>
        <charset val="0"/>
      </rPr>
      <t>　</t>
    </r>
    <r>
      <rPr>
        <b/>
        <sz val="10"/>
        <color rgb="FF000000"/>
        <rFont val="Calibri"/>
        <charset val="0"/>
      </rPr>
      <t>[21799]</t>
    </r>
    <r>
      <rPr>
        <b/>
        <sz val="10"/>
        <color rgb="FF000000"/>
        <rFont val="宋体"/>
        <charset val="0"/>
      </rPr>
      <t>其他金融支出</t>
    </r>
  </si>
  <si>
    <r>
      <rPr>
        <sz val="10"/>
        <color rgb="FF000000"/>
        <rFont val="宋体"/>
        <charset val="0"/>
      </rPr>
      <t>　　</t>
    </r>
    <r>
      <rPr>
        <sz val="10"/>
        <color rgb="FF000000"/>
        <rFont val="Calibri"/>
        <charset val="0"/>
      </rPr>
      <t>[2179999]</t>
    </r>
    <r>
      <rPr>
        <sz val="10"/>
        <color rgb="FF000000"/>
        <rFont val="宋体"/>
        <charset val="0"/>
      </rPr>
      <t>其他金融支出</t>
    </r>
  </si>
  <si>
    <r>
      <rPr>
        <b/>
        <sz val="10"/>
        <color indexed="8"/>
        <rFont val="Calibri"/>
        <charset val="0"/>
      </rPr>
      <t>[220]</t>
    </r>
    <r>
      <rPr>
        <b/>
        <sz val="10"/>
        <color indexed="8"/>
        <rFont val="宋体"/>
        <charset val="0"/>
      </rPr>
      <t>自然资源海洋气象等支出</t>
    </r>
  </si>
  <si>
    <r>
      <rPr>
        <b/>
        <sz val="10"/>
        <color indexed="8"/>
        <rFont val="宋体"/>
        <charset val="0"/>
      </rPr>
      <t>　</t>
    </r>
    <r>
      <rPr>
        <b/>
        <sz val="10"/>
        <color indexed="8"/>
        <rFont val="Calibri"/>
        <charset val="0"/>
      </rPr>
      <t>[22001]</t>
    </r>
    <r>
      <rPr>
        <b/>
        <sz val="10"/>
        <color indexed="8"/>
        <rFont val="宋体"/>
        <charset val="0"/>
      </rPr>
      <t>自然资源事务</t>
    </r>
  </si>
  <si>
    <r>
      <rPr>
        <sz val="10"/>
        <color indexed="8"/>
        <rFont val="宋体"/>
        <charset val="0"/>
      </rPr>
      <t>　　</t>
    </r>
    <r>
      <rPr>
        <sz val="10"/>
        <color indexed="8"/>
        <rFont val="Calibri"/>
        <charset val="0"/>
      </rPr>
      <t>[2200101]</t>
    </r>
    <r>
      <rPr>
        <sz val="10"/>
        <color indexed="8"/>
        <rFont val="宋体"/>
        <charset val="0"/>
      </rPr>
      <t>行政运行</t>
    </r>
  </si>
  <si>
    <r>
      <rPr>
        <sz val="10"/>
        <color indexed="8"/>
        <rFont val="宋体"/>
        <charset val="0"/>
      </rPr>
      <t>　　</t>
    </r>
    <r>
      <rPr>
        <sz val="10"/>
        <color indexed="8"/>
        <rFont val="Calibri"/>
        <charset val="0"/>
      </rPr>
      <t>[2200102]</t>
    </r>
    <r>
      <rPr>
        <sz val="10"/>
        <color indexed="8"/>
        <rFont val="宋体"/>
        <charset val="0"/>
      </rPr>
      <t>一般行政管理事务</t>
    </r>
  </si>
  <si>
    <r>
      <rPr>
        <sz val="10"/>
        <color indexed="8"/>
        <rFont val="宋体"/>
        <charset val="0"/>
      </rPr>
      <t>　　</t>
    </r>
    <r>
      <rPr>
        <sz val="10"/>
        <color indexed="8"/>
        <rFont val="Calibri"/>
        <charset val="0"/>
      </rPr>
      <t>[2200106]</t>
    </r>
    <r>
      <rPr>
        <sz val="10"/>
        <color indexed="8"/>
        <rFont val="宋体"/>
        <charset val="0"/>
      </rPr>
      <t>自然资源利用与保护</t>
    </r>
  </si>
  <si>
    <r>
      <rPr>
        <sz val="10"/>
        <color rgb="FF000000"/>
        <rFont val="宋体"/>
        <charset val="0"/>
      </rPr>
      <t>　　</t>
    </r>
    <r>
      <rPr>
        <sz val="10"/>
        <color rgb="FF000000"/>
        <rFont val="Calibri"/>
        <charset val="0"/>
      </rPr>
      <t>[2200199]</t>
    </r>
    <r>
      <rPr>
        <sz val="10"/>
        <color rgb="FF000000"/>
        <rFont val="宋体"/>
        <charset val="0"/>
      </rPr>
      <t>其他自然资源事务支出</t>
    </r>
  </si>
  <si>
    <r>
      <rPr>
        <b/>
        <sz val="10"/>
        <color rgb="FF000000"/>
        <rFont val="Calibri"/>
        <charset val="0"/>
      </rPr>
      <t>[221]</t>
    </r>
    <r>
      <rPr>
        <b/>
        <sz val="10"/>
        <color rgb="FF000000"/>
        <rFont val="宋体"/>
        <charset val="0"/>
      </rPr>
      <t>住房保障支出</t>
    </r>
  </si>
  <si>
    <r>
      <rPr>
        <b/>
        <sz val="10"/>
        <color rgb="FF000000"/>
        <rFont val="宋体"/>
        <charset val="0"/>
      </rPr>
      <t>　</t>
    </r>
    <r>
      <rPr>
        <b/>
        <sz val="10"/>
        <color rgb="FF000000"/>
        <rFont val="Calibri"/>
        <charset val="0"/>
      </rPr>
      <t>[22101]</t>
    </r>
    <r>
      <rPr>
        <b/>
        <sz val="10"/>
        <color rgb="FF000000"/>
        <rFont val="宋体"/>
        <charset val="0"/>
      </rPr>
      <t>保障性安居工程支出</t>
    </r>
  </si>
  <si>
    <r>
      <rPr>
        <sz val="10"/>
        <color rgb="FF000000"/>
        <rFont val="宋体"/>
        <charset val="0"/>
      </rPr>
      <t>　　</t>
    </r>
    <r>
      <rPr>
        <sz val="10"/>
        <color rgb="FF000000"/>
        <rFont val="Calibri"/>
        <charset val="0"/>
      </rPr>
      <t>[2210105]</t>
    </r>
    <r>
      <rPr>
        <sz val="10"/>
        <color rgb="FF000000"/>
        <rFont val="宋体"/>
        <charset val="0"/>
      </rPr>
      <t>农村危房改造</t>
    </r>
  </si>
  <si>
    <r>
      <rPr>
        <sz val="10"/>
        <color rgb="FF000000"/>
        <rFont val="宋体"/>
        <charset val="0"/>
      </rPr>
      <t>　　</t>
    </r>
    <r>
      <rPr>
        <sz val="10"/>
        <color rgb="FF000000"/>
        <rFont val="Calibri"/>
        <charset val="0"/>
      </rPr>
      <t>[2210199]</t>
    </r>
    <r>
      <rPr>
        <sz val="10"/>
        <color rgb="FF000000"/>
        <rFont val="宋体"/>
        <charset val="0"/>
      </rPr>
      <t>其他保障性安居工程支出</t>
    </r>
  </si>
  <si>
    <r>
      <rPr>
        <b/>
        <sz val="10"/>
        <color rgb="FF000000"/>
        <rFont val="宋体"/>
        <charset val="0"/>
      </rPr>
      <t>　</t>
    </r>
    <r>
      <rPr>
        <b/>
        <sz val="10"/>
        <color rgb="FF000000"/>
        <rFont val="Calibri"/>
        <charset val="0"/>
      </rPr>
      <t>[22103]</t>
    </r>
    <r>
      <rPr>
        <b/>
        <sz val="10"/>
        <color rgb="FF000000"/>
        <rFont val="宋体"/>
        <charset val="0"/>
      </rPr>
      <t>城乡社区住宅</t>
    </r>
  </si>
  <si>
    <r>
      <rPr>
        <sz val="10"/>
        <color rgb="FF000000"/>
        <rFont val="宋体"/>
        <charset val="0"/>
      </rPr>
      <t>　　</t>
    </r>
    <r>
      <rPr>
        <sz val="10"/>
        <color rgb="FF000000"/>
        <rFont val="Calibri"/>
        <charset val="0"/>
      </rPr>
      <t>[2210399]</t>
    </r>
    <r>
      <rPr>
        <sz val="10"/>
        <color rgb="FF000000"/>
        <rFont val="宋体"/>
        <charset val="0"/>
      </rPr>
      <t>其他城乡社区住宅支出</t>
    </r>
  </si>
  <si>
    <r>
      <rPr>
        <b/>
        <sz val="10"/>
        <color indexed="8"/>
        <rFont val="Calibri"/>
        <charset val="0"/>
      </rPr>
      <t>[224]</t>
    </r>
    <r>
      <rPr>
        <b/>
        <sz val="10"/>
        <color indexed="8"/>
        <rFont val="宋体"/>
        <charset val="0"/>
      </rPr>
      <t>灾害防治及应急管理支出</t>
    </r>
  </si>
  <si>
    <r>
      <rPr>
        <b/>
        <sz val="10"/>
        <color indexed="8"/>
        <rFont val="宋体"/>
        <charset val="0"/>
      </rPr>
      <t>　</t>
    </r>
    <r>
      <rPr>
        <b/>
        <sz val="10"/>
        <color indexed="8"/>
        <rFont val="Calibri"/>
        <charset val="0"/>
      </rPr>
      <t>[22401]</t>
    </r>
    <r>
      <rPr>
        <b/>
        <sz val="10"/>
        <color indexed="8"/>
        <rFont val="宋体"/>
        <charset val="0"/>
      </rPr>
      <t>应急管理事务</t>
    </r>
  </si>
  <si>
    <r>
      <rPr>
        <sz val="10"/>
        <color indexed="8"/>
        <rFont val="宋体"/>
        <charset val="0"/>
      </rPr>
      <t>　　</t>
    </r>
    <r>
      <rPr>
        <sz val="10"/>
        <color indexed="8"/>
        <rFont val="Calibri"/>
        <charset val="0"/>
      </rPr>
      <t>[2240101]</t>
    </r>
    <r>
      <rPr>
        <sz val="10"/>
        <color indexed="8"/>
        <rFont val="宋体"/>
        <charset val="0"/>
      </rPr>
      <t>行政运行</t>
    </r>
  </si>
  <si>
    <r>
      <rPr>
        <sz val="10"/>
        <color indexed="8"/>
        <rFont val="宋体"/>
        <charset val="0"/>
      </rPr>
      <t>　　</t>
    </r>
    <r>
      <rPr>
        <sz val="10"/>
        <color indexed="8"/>
        <rFont val="Calibri"/>
        <charset val="0"/>
      </rPr>
      <t>[2240102]</t>
    </r>
    <r>
      <rPr>
        <sz val="10"/>
        <color indexed="8"/>
        <rFont val="宋体"/>
        <charset val="0"/>
      </rPr>
      <t>一般行政管理事务</t>
    </r>
  </si>
  <si>
    <r>
      <rPr>
        <sz val="10"/>
        <color indexed="8"/>
        <rFont val="宋体"/>
        <charset val="0"/>
      </rPr>
      <t>　　</t>
    </r>
    <r>
      <rPr>
        <sz val="10"/>
        <color indexed="8"/>
        <rFont val="Calibri"/>
        <charset val="0"/>
      </rPr>
      <t>[2240104]</t>
    </r>
    <r>
      <rPr>
        <sz val="10"/>
        <color indexed="8"/>
        <rFont val="宋体"/>
        <charset val="0"/>
      </rPr>
      <t>灾害风险防治</t>
    </r>
  </si>
  <si>
    <r>
      <rPr>
        <sz val="10"/>
        <color indexed="8"/>
        <rFont val="宋体"/>
        <charset val="0"/>
      </rPr>
      <t>　　</t>
    </r>
    <r>
      <rPr>
        <sz val="10"/>
        <color indexed="8"/>
        <rFont val="Calibri"/>
        <charset val="0"/>
      </rPr>
      <t>[2240106]</t>
    </r>
    <r>
      <rPr>
        <sz val="10"/>
        <color indexed="8"/>
        <rFont val="宋体"/>
        <charset val="0"/>
      </rPr>
      <t>安全监管</t>
    </r>
  </si>
  <si>
    <r>
      <rPr>
        <sz val="10"/>
        <color indexed="8"/>
        <rFont val="宋体"/>
        <charset val="0"/>
      </rPr>
      <t>　　</t>
    </r>
    <r>
      <rPr>
        <sz val="10"/>
        <color indexed="8"/>
        <rFont val="Calibri"/>
        <charset val="0"/>
      </rPr>
      <t>[2240108]</t>
    </r>
    <r>
      <rPr>
        <sz val="10"/>
        <color indexed="8"/>
        <rFont val="宋体"/>
        <charset val="0"/>
      </rPr>
      <t>应急救援</t>
    </r>
  </si>
  <si>
    <r>
      <rPr>
        <sz val="10"/>
        <color indexed="8"/>
        <rFont val="宋体"/>
        <charset val="0"/>
      </rPr>
      <t>　　</t>
    </r>
    <r>
      <rPr>
        <sz val="10"/>
        <color indexed="8"/>
        <rFont val="Calibri"/>
        <charset val="0"/>
      </rPr>
      <t>[2240109]</t>
    </r>
    <r>
      <rPr>
        <sz val="10"/>
        <color indexed="8"/>
        <rFont val="宋体"/>
        <charset val="0"/>
      </rPr>
      <t>应急管理</t>
    </r>
  </si>
  <si>
    <r>
      <rPr>
        <sz val="10"/>
        <color indexed="8"/>
        <rFont val="宋体"/>
        <charset val="0"/>
      </rPr>
      <t>　　</t>
    </r>
    <r>
      <rPr>
        <sz val="10"/>
        <color indexed="8"/>
        <rFont val="Calibri"/>
        <charset val="0"/>
      </rPr>
      <t>[2240199]</t>
    </r>
    <r>
      <rPr>
        <sz val="10"/>
        <color indexed="8"/>
        <rFont val="宋体"/>
        <charset val="0"/>
      </rPr>
      <t>其他应急管理支出</t>
    </r>
  </si>
  <si>
    <r>
      <rPr>
        <b/>
        <sz val="10"/>
        <color rgb="FF000000"/>
        <rFont val="宋体"/>
        <charset val="0"/>
      </rPr>
      <t>　</t>
    </r>
    <r>
      <rPr>
        <b/>
        <sz val="10"/>
        <color rgb="FF000000"/>
        <rFont val="Calibri"/>
        <charset val="0"/>
      </rPr>
      <t>[22402]</t>
    </r>
    <r>
      <rPr>
        <b/>
        <sz val="10"/>
        <color rgb="FF000000"/>
        <rFont val="宋体"/>
        <charset val="0"/>
      </rPr>
      <t>消防救援事务</t>
    </r>
  </si>
  <si>
    <r>
      <rPr>
        <sz val="10"/>
        <color rgb="FF000000"/>
        <rFont val="宋体"/>
        <charset val="0"/>
      </rPr>
      <t>　　</t>
    </r>
    <r>
      <rPr>
        <sz val="10"/>
        <color rgb="FF000000"/>
        <rFont val="Calibri"/>
        <charset val="0"/>
      </rPr>
      <t>[2240204]</t>
    </r>
    <r>
      <rPr>
        <sz val="10"/>
        <color rgb="FF000000"/>
        <rFont val="宋体"/>
        <charset val="0"/>
      </rPr>
      <t>消防应急救援</t>
    </r>
  </si>
  <si>
    <r>
      <rPr>
        <b/>
        <sz val="10"/>
        <color rgb="FF000000"/>
        <rFont val="宋体"/>
        <charset val="0"/>
      </rPr>
      <t>　</t>
    </r>
    <r>
      <rPr>
        <b/>
        <sz val="10"/>
        <color rgb="FF000000"/>
        <rFont val="Calibri"/>
        <charset val="0"/>
      </rPr>
      <t>[22406]</t>
    </r>
    <r>
      <rPr>
        <b/>
        <sz val="10"/>
        <color rgb="FF000000"/>
        <rFont val="宋体"/>
        <charset val="0"/>
      </rPr>
      <t>自然灾害防治</t>
    </r>
  </si>
  <si>
    <r>
      <rPr>
        <sz val="10"/>
        <color rgb="FF000000"/>
        <rFont val="宋体"/>
        <charset val="0"/>
      </rPr>
      <t>　　</t>
    </r>
    <r>
      <rPr>
        <sz val="10"/>
        <color rgb="FF000000"/>
        <rFont val="Calibri"/>
        <charset val="0"/>
      </rPr>
      <t>[2240601]</t>
    </r>
    <r>
      <rPr>
        <sz val="10"/>
        <color rgb="FF000000"/>
        <rFont val="宋体"/>
        <charset val="0"/>
      </rPr>
      <t>地质灾害防治</t>
    </r>
  </si>
  <si>
    <r>
      <rPr>
        <sz val="10"/>
        <color rgb="FF000000"/>
        <rFont val="宋体"/>
        <charset val="0"/>
      </rPr>
      <t>　　</t>
    </r>
    <r>
      <rPr>
        <sz val="10"/>
        <color rgb="FF000000"/>
        <rFont val="Calibri"/>
        <charset val="0"/>
      </rPr>
      <t>[2240602]</t>
    </r>
    <r>
      <rPr>
        <sz val="10"/>
        <color rgb="FF000000"/>
        <rFont val="宋体"/>
        <charset val="0"/>
      </rPr>
      <t>森林草原防灾减灾</t>
    </r>
  </si>
  <si>
    <r>
      <rPr>
        <b/>
        <sz val="10"/>
        <color rgb="FF000000"/>
        <rFont val="宋体"/>
        <charset val="0"/>
      </rPr>
      <t>　</t>
    </r>
    <r>
      <rPr>
        <b/>
        <sz val="10"/>
        <color rgb="FF000000"/>
        <rFont val="Calibri"/>
        <charset val="0"/>
      </rPr>
      <t>[22407]</t>
    </r>
    <r>
      <rPr>
        <b/>
        <sz val="10"/>
        <color rgb="FF000000"/>
        <rFont val="宋体"/>
        <charset val="0"/>
      </rPr>
      <t>自然灾害救灾及恢复重建支出</t>
    </r>
  </si>
  <si>
    <r>
      <rPr>
        <sz val="10"/>
        <color rgb="FF000000"/>
        <rFont val="宋体"/>
        <charset val="0"/>
      </rPr>
      <t>　　</t>
    </r>
    <r>
      <rPr>
        <sz val="10"/>
        <color rgb="FF000000"/>
        <rFont val="Calibri"/>
        <charset val="0"/>
      </rPr>
      <t>[2240703]</t>
    </r>
    <r>
      <rPr>
        <sz val="10"/>
        <color rgb="FF000000"/>
        <rFont val="宋体"/>
        <charset val="0"/>
      </rPr>
      <t>自然灾害救灾补助</t>
    </r>
  </si>
  <si>
    <r>
      <rPr>
        <b/>
        <sz val="10"/>
        <color rgb="FF000000"/>
        <rFont val="宋体"/>
        <charset val="0"/>
      </rPr>
      <t>　</t>
    </r>
    <r>
      <rPr>
        <b/>
        <sz val="10"/>
        <color rgb="FF000000"/>
        <rFont val="Calibri"/>
        <charset val="0"/>
      </rPr>
      <t>[22499]</t>
    </r>
    <r>
      <rPr>
        <b/>
        <sz val="10"/>
        <color rgb="FF000000"/>
        <rFont val="宋体"/>
        <charset val="0"/>
      </rPr>
      <t>其他灾害防治及应急管理支出</t>
    </r>
  </si>
  <si>
    <r>
      <rPr>
        <sz val="10"/>
        <color rgb="FF000000"/>
        <rFont val="宋体"/>
        <charset val="0"/>
      </rPr>
      <t>　　</t>
    </r>
    <r>
      <rPr>
        <sz val="10"/>
        <color rgb="FF000000"/>
        <rFont val="Calibri"/>
        <charset val="0"/>
      </rPr>
      <t>[2249999]</t>
    </r>
    <r>
      <rPr>
        <sz val="10"/>
        <color rgb="FF000000"/>
        <rFont val="宋体"/>
        <charset val="0"/>
      </rPr>
      <t>其他灾害防治及应急管理支出</t>
    </r>
  </si>
  <si>
    <r>
      <rPr>
        <b/>
        <sz val="10"/>
        <color indexed="8"/>
        <rFont val="Calibri"/>
        <charset val="0"/>
      </rPr>
      <t>[227]</t>
    </r>
    <r>
      <rPr>
        <b/>
        <sz val="10"/>
        <color indexed="8"/>
        <rFont val="宋体"/>
        <charset val="0"/>
      </rPr>
      <t>预备费</t>
    </r>
  </si>
  <si>
    <r>
      <rPr>
        <b/>
        <sz val="10"/>
        <color indexed="8"/>
        <rFont val="宋体"/>
        <charset val="0"/>
      </rPr>
      <t>　</t>
    </r>
    <r>
      <rPr>
        <b/>
        <sz val="10"/>
        <color indexed="8"/>
        <rFont val="Calibri"/>
        <charset val="0"/>
      </rPr>
      <t>[227]</t>
    </r>
    <r>
      <rPr>
        <b/>
        <sz val="10"/>
        <color indexed="8"/>
        <rFont val="宋体"/>
        <charset val="0"/>
      </rPr>
      <t>预备费</t>
    </r>
  </si>
  <si>
    <r>
      <rPr>
        <sz val="10"/>
        <color indexed="8"/>
        <rFont val="宋体"/>
        <charset val="0"/>
      </rPr>
      <t>　　</t>
    </r>
    <r>
      <rPr>
        <sz val="10"/>
        <color indexed="8"/>
        <rFont val="Calibri"/>
        <charset val="0"/>
      </rPr>
      <t>[227]</t>
    </r>
    <r>
      <rPr>
        <sz val="10"/>
        <color indexed="8"/>
        <rFont val="宋体"/>
        <charset val="0"/>
      </rPr>
      <t>预备费</t>
    </r>
  </si>
  <si>
    <r>
      <rPr>
        <b/>
        <sz val="10"/>
        <color indexed="8"/>
        <rFont val="Calibri"/>
        <charset val="0"/>
      </rPr>
      <t>[229]</t>
    </r>
    <r>
      <rPr>
        <b/>
        <sz val="10"/>
        <color indexed="8"/>
        <rFont val="宋体"/>
        <charset val="0"/>
      </rPr>
      <t>其他支出</t>
    </r>
  </si>
  <si>
    <r>
      <rPr>
        <b/>
        <sz val="10"/>
        <color indexed="8"/>
        <rFont val="宋体"/>
        <charset val="0"/>
      </rPr>
      <t>　</t>
    </r>
    <r>
      <rPr>
        <b/>
        <sz val="10"/>
        <color indexed="8"/>
        <rFont val="Calibri"/>
        <charset val="0"/>
      </rPr>
      <t>[22902]</t>
    </r>
    <r>
      <rPr>
        <b/>
        <sz val="10"/>
        <color indexed="8"/>
        <rFont val="宋体"/>
        <charset val="0"/>
      </rPr>
      <t>年初预留</t>
    </r>
  </si>
  <si>
    <r>
      <rPr>
        <sz val="10"/>
        <color indexed="8"/>
        <rFont val="宋体"/>
        <charset val="0"/>
      </rPr>
      <t>　　</t>
    </r>
    <r>
      <rPr>
        <sz val="10"/>
        <color indexed="8"/>
        <rFont val="Calibri"/>
        <charset val="0"/>
      </rPr>
      <t>[2290201]</t>
    </r>
    <r>
      <rPr>
        <sz val="10"/>
        <color indexed="8"/>
        <rFont val="宋体"/>
        <charset val="0"/>
      </rPr>
      <t>年初预留</t>
    </r>
  </si>
  <si>
    <r>
      <rPr>
        <b/>
        <sz val="10"/>
        <color indexed="8"/>
        <rFont val="宋体"/>
        <charset val="0"/>
      </rPr>
      <t>　</t>
    </r>
    <r>
      <rPr>
        <b/>
        <sz val="10"/>
        <color indexed="8"/>
        <rFont val="Calibri"/>
        <charset val="0"/>
      </rPr>
      <t>[22999]</t>
    </r>
    <r>
      <rPr>
        <b/>
        <sz val="10"/>
        <color indexed="8"/>
        <rFont val="宋体"/>
        <charset val="0"/>
      </rPr>
      <t>其他支出</t>
    </r>
  </si>
  <si>
    <r>
      <rPr>
        <sz val="10"/>
        <color indexed="8"/>
        <rFont val="宋体"/>
        <charset val="0"/>
      </rPr>
      <t>　　</t>
    </r>
    <r>
      <rPr>
        <sz val="10"/>
        <color indexed="8"/>
        <rFont val="Calibri"/>
        <charset val="0"/>
      </rPr>
      <t>[2299999]</t>
    </r>
    <r>
      <rPr>
        <sz val="10"/>
        <color indexed="8"/>
        <rFont val="宋体"/>
        <charset val="0"/>
      </rPr>
      <t>其他支出</t>
    </r>
  </si>
  <si>
    <r>
      <rPr>
        <b/>
        <sz val="10"/>
        <color indexed="8"/>
        <rFont val="Calibri"/>
        <charset val="0"/>
      </rPr>
      <t>[231]</t>
    </r>
    <r>
      <rPr>
        <b/>
        <sz val="10"/>
        <color indexed="8"/>
        <rFont val="宋体"/>
        <charset val="0"/>
      </rPr>
      <t>债务还本支出</t>
    </r>
  </si>
  <si>
    <r>
      <rPr>
        <b/>
        <sz val="10"/>
        <color indexed="8"/>
        <rFont val="宋体"/>
        <charset val="0"/>
      </rPr>
      <t>　</t>
    </r>
    <r>
      <rPr>
        <b/>
        <sz val="10"/>
        <color indexed="8"/>
        <rFont val="Calibri"/>
        <charset val="0"/>
      </rPr>
      <t>[23103]</t>
    </r>
    <r>
      <rPr>
        <b/>
        <sz val="10"/>
        <color indexed="8"/>
        <rFont val="宋体"/>
        <charset val="0"/>
      </rPr>
      <t>地方政府一般债务还本支出</t>
    </r>
  </si>
  <si>
    <r>
      <rPr>
        <sz val="10"/>
        <color indexed="8"/>
        <rFont val="宋体"/>
        <charset val="0"/>
      </rPr>
      <t>　　</t>
    </r>
    <r>
      <rPr>
        <sz val="10"/>
        <color indexed="8"/>
        <rFont val="Calibri"/>
        <charset val="0"/>
      </rPr>
      <t>[2310301]</t>
    </r>
    <r>
      <rPr>
        <sz val="10"/>
        <color indexed="8"/>
        <rFont val="宋体"/>
        <charset val="0"/>
      </rPr>
      <t>地方政府一般债券还本支出</t>
    </r>
  </si>
  <si>
    <r>
      <rPr>
        <b/>
        <sz val="10"/>
        <color indexed="8"/>
        <rFont val="Calibri"/>
        <charset val="0"/>
      </rPr>
      <t>[232]</t>
    </r>
    <r>
      <rPr>
        <b/>
        <sz val="10"/>
        <color indexed="8"/>
        <rFont val="宋体"/>
        <charset val="0"/>
      </rPr>
      <t>债务付息支出</t>
    </r>
  </si>
  <si>
    <r>
      <rPr>
        <b/>
        <sz val="10"/>
        <color indexed="8"/>
        <rFont val="宋体"/>
        <charset val="0"/>
      </rPr>
      <t>　</t>
    </r>
    <r>
      <rPr>
        <b/>
        <sz val="10"/>
        <color indexed="8"/>
        <rFont val="Calibri"/>
        <charset val="0"/>
      </rPr>
      <t>[23203]</t>
    </r>
    <r>
      <rPr>
        <b/>
        <sz val="10"/>
        <color indexed="8"/>
        <rFont val="宋体"/>
        <charset val="0"/>
      </rPr>
      <t>地方政府一般债务付息支出</t>
    </r>
  </si>
  <si>
    <r>
      <rPr>
        <sz val="10"/>
        <color indexed="8"/>
        <rFont val="宋体"/>
        <charset val="0"/>
      </rPr>
      <t>　　</t>
    </r>
    <r>
      <rPr>
        <sz val="10"/>
        <color indexed="8"/>
        <rFont val="Calibri"/>
        <charset val="0"/>
      </rPr>
      <t>[2320301]</t>
    </r>
    <r>
      <rPr>
        <sz val="10"/>
        <color indexed="8"/>
        <rFont val="宋体"/>
        <charset val="0"/>
      </rPr>
      <t>地方政府一般债券付息支出</t>
    </r>
  </si>
  <si>
    <r>
      <rPr>
        <b/>
        <sz val="10"/>
        <color indexed="8"/>
        <rFont val="Calibri"/>
        <charset val="0"/>
      </rPr>
      <t>[233]</t>
    </r>
    <r>
      <rPr>
        <b/>
        <sz val="10"/>
        <color indexed="8"/>
        <rFont val="宋体"/>
        <charset val="0"/>
      </rPr>
      <t>债务发行费用支出</t>
    </r>
  </si>
  <si>
    <r>
      <rPr>
        <b/>
        <sz val="10"/>
        <color indexed="8"/>
        <rFont val="宋体"/>
        <charset val="0"/>
      </rPr>
      <t>　</t>
    </r>
    <r>
      <rPr>
        <b/>
        <sz val="10"/>
        <color indexed="8"/>
        <rFont val="Calibri"/>
        <charset val="0"/>
      </rPr>
      <t>[23303]</t>
    </r>
    <r>
      <rPr>
        <b/>
        <sz val="10"/>
        <color indexed="8"/>
        <rFont val="宋体"/>
        <charset val="0"/>
      </rPr>
      <t>地方政府一般债务发行费用支出</t>
    </r>
  </si>
  <si>
    <r>
      <rPr>
        <sz val="10"/>
        <color indexed="8"/>
        <rFont val="宋体"/>
        <charset val="0"/>
      </rPr>
      <t>　　</t>
    </r>
    <r>
      <rPr>
        <sz val="10"/>
        <color indexed="8"/>
        <rFont val="Calibri"/>
        <charset val="0"/>
      </rPr>
      <t>[23303]</t>
    </r>
    <r>
      <rPr>
        <sz val="10"/>
        <color indexed="8"/>
        <rFont val="宋体"/>
        <charset val="0"/>
      </rPr>
      <t>地方政府一般债务发行费用支出</t>
    </r>
  </si>
  <si>
    <t>总计（含债务还本支出）</t>
  </si>
  <si>
    <t>2023年一般公共预算支出表（功能项级分类）-开发区</t>
  </si>
  <si>
    <t>总计</t>
  </si>
  <si>
    <t>基本支出</t>
  </si>
  <si>
    <t>项目支出</t>
  </si>
  <si>
    <t>预算执行</t>
  </si>
  <si>
    <t>进度%</t>
  </si>
  <si>
    <t>预算调整</t>
  </si>
  <si>
    <t>小计</t>
  </si>
  <si>
    <t>人员支出</t>
  </si>
  <si>
    <t>公用支出</t>
  </si>
  <si>
    <t>已下达指标</t>
  </si>
  <si>
    <t>剩余指标</t>
  </si>
  <si>
    <t>已批复计划</t>
  </si>
  <si>
    <t>已支付</t>
  </si>
  <si>
    <t>未执行计划</t>
  </si>
  <si>
    <t>实际剩余指标</t>
  </si>
  <si>
    <t>差异：</t>
  </si>
  <si>
    <t>2023年一般公共预算支出表（功能项级分类）-铁山区</t>
  </si>
  <si>
    <r>
      <rPr>
        <sz val="10"/>
        <color rgb="FF000000"/>
        <rFont val="宋体"/>
        <charset val="0"/>
      </rPr>
      <t>　　</t>
    </r>
    <r>
      <rPr>
        <sz val="10"/>
        <color rgb="FF000000"/>
        <rFont val="Calibri"/>
        <charset val="0"/>
      </rPr>
      <t>[2010302]</t>
    </r>
    <r>
      <rPr>
        <sz val="10"/>
        <color rgb="FF000000"/>
        <rFont val="宋体"/>
        <charset val="0"/>
      </rPr>
      <t>一般行政管理事务</t>
    </r>
  </si>
  <si>
    <r>
      <rPr>
        <b/>
        <sz val="10"/>
        <color rgb="FF000000"/>
        <rFont val="宋体"/>
        <charset val="0"/>
      </rPr>
      <t>　</t>
    </r>
    <r>
      <rPr>
        <b/>
        <sz val="10"/>
        <color rgb="FF000000"/>
        <rFont val="Calibri"/>
        <charset val="0"/>
      </rPr>
      <t>[20106]</t>
    </r>
    <r>
      <rPr>
        <b/>
        <sz val="10"/>
        <color rgb="FF000000"/>
        <rFont val="宋体"/>
        <charset val="0"/>
      </rPr>
      <t>财政事务</t>
    </r>
  </si>
  <si>
    <r>
      <rPr>
        <sz val="10"/>
        <color rgb="FF000000"/>
        <rFont val="宋体"/>
        <charset val="0"/>
      </rPr>
      <t>　　</t>
    </r>
    <r>
      <rPr>
        <sz val="10"/>
        <color rgb="FF000000"/>
        <rFont val="Calibri"/>
        <charset val="0"/>
      </rPr>
      <t>[2100408]</t>
    </r>
    <r>
      <rPr>
        <sz val="10"/>
        <color rgb="FF000000"/>
        <rFont val="宋体"/>
        <charset val="0"/>
      </rPr>
      <t>基本公共卫生服务</t>
    </r>
  </si>
  <si>
    <r>
      <rPr>
        <b/>
        <sz val="10"/>
        <color rgb="FF000000"/>
        <rFont val="Calibri"/>
        <charset val="0"/>
      </rPr>
      <t>[211]</t>
    </r>
    <r>
      <rPr>
        <b/>
        <sz val="10"/>
        <color rgb="FF000000"/>
        <rFont val="宋体"/>
        <charset val="0"/>
      </rPr>
      <t>节能环保支出</t>
    </r>
  </si>
  <si>
    <r>
      <rPr>
        <b/>
        <sz val="10"/>
        <color rgb="FF000000"/>
        <rFont val="宋体"/>
        <charset val="0"/>
      </rPr>
      <t>　</t>
    </r>
    <r>
      <rPr>
        <b/>
        <sz val="10"/>
        <color rgb="FF000000"/>
        <rFont val="Calibri"/>
        <charset val="0"/>
      </rPr>
      <t>[21112]</t>
    </r>
    <r>
      <rPr>
        <b/>
        <sz val="10"/>
        <color rgb="FF000000"/>
        <rFont val="宋体"/>
        <charset val="0"/>
      </rPr>
      <t>可再生能源</t>
    </r>
  </si>
  <si>
    <r>
      <rPr>
        <sz val="10"/>
        <color rgb="FF000000"/>
        <rFont val="宋体"/>
        <charset val="0"/>
      </rPr>
      <t>　　</t>
    </r>
    <r>
      <rPr>
        <sz val="10"/>
        <color rgb="FF000000"/>
        <rFont val="Calibri"/>
        <charset val="0"/>
      </rPr>
      <t>[2111201]</t>
    </r>
    <r>
      <rPr>
        <sz val="10"/>
        <color rgb="FF000000"/>
        <rFont val="宋体"/>
        <charset val="0"/>
      </rPr>
      <t>可再生能源</t>
    </r>
  </si>
  <si>
    <t>2023年开发区·铁山区一般公共预算收支平衡情况</t>
  </si>
  <si>
    <t>支出项目</t>
  </si>
  <si>
    <t>一、一般公共预算收入（金库数）</t>
  </si>
  <si>
    <t>一、一般公共预算支出</t>
  </si>
  <si>
    <t>二、转移性收入</t>
  </si>
  <si>
    <t xml:space="preserve">      本级安排</t>
  </si>
  <si>
    <t>其中：</t>
  </si>
  <si>
    <t>（一）上级补助收入</t>
  </si>
  <si>
    <t xml:space="preserve">      上年结转安排</t>
  </si>
  <si>
    <t>1、固定补助收入</t>
  </si>
  <si>
    <t xml:space="preserve">      转移支付安排</t>
  </si>
  <si>
    <t>1、经常性补助收入</t>
  </si>
  <si>
    <t>（1）返还性收入</t>
  </si>
  <si>
    <t xml:space="preserve">      新增债券安排</t>
  </si>
  <si>
    <t>（2）其他固定性转移支付收入</t>
  </si>
  <si>
    <t>二、转移性支出</t>
  </si>
  <si>
    <t>2、结算补助收入</t>
  </si>
  <si>
    <t>（一）上解上级支出</t>
  </si>
  <si>
    <t xml:space="preserve">     团城山花湖移交补助收入</t>
  </si>
  <si>
    <t>1、体制上解</t>
  </si>
  <si>
    <t xml:space="preserve">     两镇一区移交补助收入</t>
  </si>
  <si>
    <t xml:space="preserve">     老体制上解</t>
  </si>
  <si>
    <t xml:space="preserve">    其中：老体制上解</t>
  </si>
  <si>
    <t xml:space="preserve">     契税财力结算</t>
  </si>
  <si>
    <t xml:space="preserve">     超收结算上解</t>
  </si>
  <si>
    <t xml:space="preserve">         超收结算上解</t>
  </si>
  <si>
    <t xml:space="preserve">     减税降费一次性财力补助</t>
  </si>
  <si>
    <t xml:space="preserve">     城建税上解</t>
  </si>
  <si>
    <t xml:space="preserve">         城建税上解</t>
  </si>
  <si>
    <t xml:space="preserve">     其他结算补助</t>
  </si>
  <si>
    <t xml:space="preserve">     教育费附加上解</t>
  </si>
  <si>
    <t xml:space="preserve">         教育费附加上解</t>
  </si>
  <si>
    <t>3、专项转移补助收入</t>
  </si>
  <si>
    <t xml:space="preserve">     省四税上解</t>
  </si>
  <si>
    <t xml:space="preserve">         省四税上解</t>
  </si>
  <si>
    <t>4、其他补助</t>
  </si>
  <si>
    <t>2、专项上解</t>
  </si>
  <si>
    <t xml:space="preserve">    其中：开发区补助铁山区</t>
  </si>
  <si>
    <t>3、其他上解</t>
  </si>
  <si>
    <t>（二）上年结余</t>
  </si>
  <si>
    <t xml:space="preserve">        上年结转</t>
  </si>
  <si>
    <t>（二）年终结余</t>
  </si>
  <si>
    <t xml:space="preserve">        净结余</t>
  </si>
  <si>
    <t xml:space="preserve">   减：结转下年支出</t>
  </si>
  <si>
    <t>（三）调入基金</t>
  </si>
  <si>
    <t xml:space="preserve">   净结余</t>
  </si>
  <si>
    <t>（二）调出资金</t>
  </si>
  <si>
    <t xml:space="preserve">   （1）调入政府性基金</t>
  </si>
  <si>
    <t>（三）调出资金</t>
  </si>
  <si>
    <t>（三）债务还本支出</t>
  </si>
  <si>
    <t xml:space="preserve">   （2）调入存量资金</t>
  </si>
  <si>
    <t>（四）安排预算稳定调节基金</t>
  </si>
  <si>
    <t xml:space="preserve">   （3）其他调入资金</t>
  </si>
  <si>
    <t>（五）年终结余</t>
  </si>
  <si>
    <t>（四）债务转贷收入</t>
  </si>
  <si>
    <t>（四）债务还本支出</t>
  </si>
  <si>
    <t>（五）动用预算稳定调节基金</t>
  </si>
  <si>
    <t>（五）补充预算稳定调节基金</t>
  </si>
  <si>
    <t>（五）调入预算稳定调节基金</t>
  </si>
  <si>
    <t>收入总计</t>
  </si>
  <si>
    <t>支出总计</t>
  </si>
  <si>
    <t>市下文号</t>
  </si>
  <si>
    <t>项目</t>
  </si>
  <si>
    <t>备注</t>
  </si>
  <si>
    <t>转移支付小计：</t>
  </si>
  <si>
    <t>黄财金发〔2022〕305号</t>
  </si>
  <si>
    <t>关于提前下达2023年中央和省级财政农业保费补贴资金的通知</t>
  </si>
  <si>
    <t>黄财社发〔2023〕15号</t>
  </si>
  <si>
    <t>关于下达2023年中央财政困难群众救助资金的通知</t>
  </si>
  <si>
    <t>黄财建发〔2023〕10号</t>
  </si>
  <si>
    <t>关于下达2022年中央和省级自然灾害救灾资金（冬春救助）的通知</t>
  </si>
  <si>
    <t>黄财预发〔2022〕275号</t>
  </si>
  <si>
    <t>关于提前下达第三批支持基层落实减税降费和重点民生等转移支付资金预算的通知</t>
  </si>
  <si>
    <t>增值税留底退税转移支付收入982万，其他退税减税降费68万</t>
  </si>
  <si>
    <t>黄财教发〔2023〕12号</t>
  </si>
  <si>
    <t>关于下达2023年城乡义务教育补助经费预算的通知</t>
  </si>
  <si>
    <t>20502-普通教育</t>
  </si>
  <si>
    <t>城乡公用经费622/130；校舍安全保障146；免费教科书172/24；家庭经济困难学生生活补助16/2；综合奖补360</t>
  </si>
  <si>
    <t>黄财社发〔2023〕2号</t>
  </si>
  <si>
    <t>关于下达2023年中央优抚对象医疗保障经费的通知</t>
  </si>
  <si>
    <t>210卫生健康支出</t>
  </si>
  <si>
    <t>黄财社发〔2023〕3号</t>
  </si>
  <si>
    <t>关于下达2023年中央优抚对象补助经费（第二批）的通知</t>
  </si>
  <si>
    <t>20808抚恤</t>
  </si>
  <si>
    <t>黄财行发〔2023〕30号</t>
  </si>
  <si>
    <t>关于下达2023年药品监管补助资金的通知</t>
  </si>
  <si>
    <t>20138市场监督管理事务</t>
  </si>
  <si>
    <t>黄财行发〔2023〕36号</t>
  </si>
  <si>
    <t>关于提前下达2023年度下派选调生到村工作中央财政补助资金的通知</t>
  </si>
  <si>
    <t>与黄财行发〔2023〕91号合并结算</t>
  </si>
  <si>
    <t>黄财行发〔2023〕37号</t>
  </si>
  <si>
    <t>关于提前下达2023年省级公共法律服务体系建设转移支付资金的通知</t>
  </si>
  <si>
    <t>2040607公共法律服务</t>
  </si>
  <si>
    <t>黄财社发〔2023〕31号</t>
  </si>
  <si>
    <t>关于下达2023年中央财政残疾人事业发展补助资金预算的通知</t>
  </si>
  <si>
    <t>208社会保障和就业支出</t>
  </si>
  <si>
    <t>黄财建发﹝2023﹞21号</t>
  </si>
  <si>
    <t>关于提前下达2023年中央和省级农村危房改造补助资金预算的通知</t>
  </si>
  <si>
    <t>2210105农村危房改造</t>
  </si>
  <si>
    <t>黄财农发〔2023〕38号</t>
  </si>
  <si>
    <t>关于拨付2022年省级现代农业转移支付资金的通知</t>
  </si>
  <si>
    <t>21301农业农村</t>
  </si>
  <si>
    <t>村集体经济发展“进步村”奖励？</t>
  </si>
  <si>
    <t>黄财社发〔2023〕52号</t>
  </si>
  <si>
    <t>关于下达2023年高校毕业生“三支一扶”计划中央财政补助资金的通知</t>
  </si>
  <si>
    <t>2080199其他人社管理事务支出</t>
  </si>
  <si>
    <t>黄财社发〔2023〕57号</t>
  </si>
  <si>
    <t>关于下达2023年中央优抚对象补助经费（第一批）的通知</t>
  </si>
  <si>
    <t>黄财社发〔2023〕58号</t>
  </si>
  <si>
    <t>关于下达2022年中央优抚对象补助经费预算（第三批）的通知</t>
  </si>
  <si>
    <t>黄财社发〔2023〕59号</t>
  </si>
  <si>
    <t>关于下达2023年中央财政机关事业单位养老保险制度改革补助资金的通知</t>
  </si>
  <si>
    <t>2080507对机关事业单位基本养老保险基金的补助</t>
  </si>
  <si>
    <t>黄财社发〔2023〕60号</t>
  </si>
  <si>
    <t>关于下达2023年城乡居民基本养老保险中央财政补助资金的通知</t>
  </si>
  <si>
    <t>2082602财政对城乡居民基本养老保险基金的补助</t>
  </si>
  <si>
    <t>黄财建发〔2023〕33号</t>
  </si>
  <si>
    <t>关于下达2022年生态保护和修复支撑体系专项中央基建投资预算的通知</t>
  </si>
  <si>
    <t>2249999-其他灾害防治及应急管理支出</t>
  </si>
  <si>
    <t>黄财农村发〔2023〕65号</t>
  </si>
  <si>
    <t>关于下达2023年农村公益事业财政奖补资金的通知</t>
  </si>
  <si>
    <t>2130701对村级公益事业建设的补助</t>
  </si>
  <si>
    <t>一事一议</t>
  </si>
  <si>
    <t>黄财预发〔2023〕73号</t>
  </si>
  <si>
    <r>
      <rPr>
        <sz val="10"/>
        <rFont val="宋体"/>
        <charset val="0"/>
      </rPr>
      <t>关于下达</t>
    </r>
    <r>
      <rPr>
        <sz val="10"/>
        <rFont val="Arial"/>
        <charset val="0"/>
      </rPr>
      <t>2023</t>
    </r>
    <r>
      <rPr>
        <sz val="10"/>
        <rFont val="宋体"/>
        <charset val="0"/>
      </rPr>
      <t>年征兵工作经费的通知</t>
    </r>
  </si>
  <si>
    <t>2030601兵役征集</t>
  </si>
  <si>
    <t>黄财教发〔2023〕79号</t>
  </si>
  <si>
    <t>关于提前下达2023年义务教育薄弱环节改善能力提升补助</t>
  </si>
  <si>
    <t>20502普通教育</t>
  </si>
  <si>
    <t>鹏城中学维修改造</t>
  </si>
  <si>
    <t>黄财教发〔2023〕80号</t>
  </si>
  <si>
    <t>关于提前下达2023年支持学前教育发展补助资金</t>
  </si>
  <si>
    <t>2050201学前教育</t>
  </si>
  <si>
    <t>黄财行发〔2023〕56号</t>
  </si>
  <si>
    <t>关于提前下达2023年省级平安建设（综治）激励性资金</t>
  </si>
  <si>
    <t>20136其他共产党事务支出</t>
  </si>
  <si>
    <t>黄财农发〔2023〕85号</t>
  </si>
  <si>
    <t>省厅提前下达2023年中央水利发展预算</t>
  </si>
  <si>
    <t>213农林水支出</t>
  </si>
  <si>
    <t>山洪灾害防治1万元；
农村饮水工程维修养护50万元；
小型水库维修养护4万元；
山洪灾害防治设施维修养护1万元。</t>
  </si>
  <si>
    <t>黄财建发〔2023〕87号</t>
  </si>
  <si>
    <t>下达2022年第三季度、第四季度项目拉链考评奖励资金和结算上解</t>
  </si>
  <si>
    <r>
      <rPr>
        <sz val="10"/>
        <color rgb="FFFF0000"/>
        <rFont val="宋体"/>
        <charset val="134"/>
      </rPr>
      <t>专项上解支出60万，纳入年终结算</t>
    </r>
    <r>
      <rPr>
        <sz val="10"/>
        <color theme="1"/>
        <rFont val="宋体"/>
        <charset val="134"/>
      </rPr>
      <t xml:space="preserve">
定颖电子高阶多层板40万；
群立电子封装载板40万元；锐科激光器智能制造24万元；</t>
    </r>
  </si>
  <si>
    <t>黄财建发〔2023〕89号</t>
  </si>
  <si>
    <t>2023年中央林业改革</t>
  </si>
  <si>
    <t>黄财建发〔2023〕94号</t>
  </si>
  <si>
    <t>2022年省级林业生态文明建设资金</t>
  </si>
  <si>
    <t>黄财建发〔2023〕95号</t>
  </si>
  <si>
    <t>2022年森林植被恢复资金</t>
  </si>
  <si>
    <t>2130205森林培育</t>
  </si>
  <si>
    <t>植树造林，森林植被恢复</t>
  </si>
  <si>
    <t>黄财教发〔2023〕98号</t>
  </si>
  <si>
    <t>关于下达2023年“三区”人才计划教师专项工作补助</t>
  </si>
  <si>
    <t>黄财教发〔2023〕99号</t>
  </si>
  <si>
    <t>2023年中小学校车安全省级补助资金</t>
  </si>
  <si>
    <t>黄财社发〔2023〕88号</t>
  </si>
  <si>
    <t>2022年城区残疾人就业保障金</t>
  </si>
  <si>
    <t>20811残疾人事业</t>
  </si>
  <si>
    <t>黄财社发〔2023〕101号</t>
  </si>
  <si>
    <t>关于下达2023年基本药物补助资金</t>
  </si>
  <si>
    <t>黄财社发〔2023〕102号</t>
  </si>
  <si>
    <t>关于下达2023年市级基本公共卫生服务补助资金</t>
  </si>
  <si>
    <t>2100408基本公共卫生服务</t>
  </si>
  <si>
    <t>黄财社发〔2023〕103号</t>
  </si>
  <si>
    <t>关于下达2023年计划生育转移支付资金</t>
  </si>
  <si>
    <t>2100717计划生育服务</t>
  </si>
  <si>
    <t>黄财社发〔2023〕104号</t>
  </si>
  <si>
    <t>关于下达2023年度基本公共卫生服务补助资金的预算</t>
  </si>
  <si>
    <t>黄财社发〔2023〕105号</t>
  </si>
  <si>
    <t>关于下达2023年度市级血防资金的通知</t>
  </si>
  <si>
    <t>黄财社发〔2023〕106号</t>
  </si>
  <si>
    <t>市财政局关于下达2023年中央就业补助资金的通知</t>
  </si>
  <si>
    <t>20807就业补助</t>
  </si>
  <si>
    <t>黄财农发〔2023〕96号</t>
  </si>
  <si>
    <t>关于下达2023年市级财政衔接推进乡村振兴资金（第一批）的通知</t>
  </si>
  <si>
    <t>21305巩固脱贫攻坚成果衔接乡村振兴</t>
  </si>
  <si>
    <t>市领导挂点村资金200万元；
革命老区建设发展资金8万元；</t>
  </si>
  <si>
    <t>黄财行发〔2023〕111号</t>
  </si>
  <si>
    <t>关于下达2023年全省涉台经济专项资金的通知</t>
  </si>
  <si>
    <t>2012505台湾事务</t>
  </si>
  <si>
    <t>台湾青年工作和涉台经济专项资金</t>
  </si>
  <si>
    <t>黄财行发〔2023〕113号</t>
  </si>
  <si>
    <t>关于下达2023年政法纪检监察转移支付资金的通知</t>
  </si>
  <si>
    <t>204公共安全支出</t>
  </si>
  <si>
    <t>黄财教发〔2023〕77号</t>
  </si>
  <si>
    <t>关于下达2022年和2023年中央支持地方公共文化服务体系建设补助资金（新时代文明时间中心建设项目）的通知</t>
  </si>
  <si>
    <t>207文化旅游体育与传媒支出</t>
  </si>
  <si>
    <t>黄财建发〔2023〕116号</t>
  </si>
  <si>
    <t>2023年省级住建转移支付预算指标的通知</t>
  </si>
  <si>
    <t>2129999其他城乡社区支出</t>
  </si>
  <si>
    <r>
      <rPr>
        <sz val="10"/>
        <color theme="1"/>
        <rFont val="宋体"/>
        <charset val="134"/>
      </rPr>
      <t xml:space="preserve">乡镇生活污水治理资金85万元；
</t>
    </r>
    <r>
      <rPr>
        <sz val="10"/>
        <color rgb="FFFF0000"/>
        <rFont val="宋体"/>
        <charset val="134"/>
      </rPr>
      <t>城乡建设发展引导资金20万元，</t>
    </r>
  </si>
  <si>
    <t>黄财建发〔2023〕92号</t>
  </si>
  <si>
    <t>关于下达2023年省级生态环境保护以奖代补资金（第一批）的通知</t>
  </si>
  <si>
    <t>211节能环保支出</t>
  </si>
  <si>
    <t>章山街道龙山村、大王镇贵湾村、太子镇益昌村农村环境整治项目各10万</t>
  </si>
  <si>
    <t>黄财社发〔2023〕123号</t>
  </si>
  <si>
    <t>关于下达2023年省级财政衔接推进乡村振兴补助资金（农村低保五保兜底保障资金）预算的通知</t>
  </si>
  <si>
    <t>黄财农发〔2023〕124号</t>
  </si>
  <si>
    <t>关于拨付2023年中央和省耕地建设与利用高标准农田建设资金的通知</t>
  </si>
  <si>
    <t>2130153农田建设支出</t>
  </si>
  <si>
    <t>新建8000亩高标准农田</t>
  </si>
  <si>
    <t>黄财农发〔2023〕130号</t>
  </si>
  <si>
    <t>关于拨付2023年中央耕地建设与利用资金的通知</t>
  </si>
  <si>
    <t>黄财社发〔2023〕135号</t>
  </si>
  <si>
    <t>关于下达2023年省级残疾儿童康复救助补助资金的通知</t>
  </si>
  <si>
    <t>2081104残疾人康复</t>
  </si>
  <si>
    <t>0-10岁残疾儿童康复救助60万；0-6岁残疾儿童家庭生活补助28万</t>
  </si>
  <si>
    <t>黄财社发〔2023〕132号</t>
  </si>
  <si>
    <t>关于下达2023年市级基药补助制度补助资金的通知</t>
  </si>
  <si>
    <t>21003基层医疗卫生机构</t>
  </si>
  <si>
    <t>与黄财社发〔2023〕107号文合并下达</t>
  </si>
  <si>
    <t>黄财建发〔2023〕136号</t>
  </si>
  <si>
    <t>下达2023年省级林业生态文明建设资金（第一批）的通知</t>
  </si>
  <si>
    <t>省级生态公益林补偿</t>
  </si>
  <si>
    <t>黄财建发〔2023〕137号</t>
  </si>
  <si>
    <t>下达2023年省级林业生态文明建设资金（第二批）的通知</t>
  </si>
  <si>
    <t>林业有害生物防治补助</t>
  </si>
  <si>
    <t>黄财预发〔2023〕152号</t>
  </si>
  <si>
    <t>关于下达疫情防控财力补助资金的通知</t>
  </si>
  <si>
    <t>黄财社发〔2023〕131号</t>
  </si>
  <si>
    <t>关于下达2023年城乡居民基本养老保险省级财政补助资金的通知</t>
  </si>
  <si>
    <t>黄财行发〔2023〕134号</t>
  </si>
  <si>
    <t>关于下达2023年省机构编制工作“以奖代补”专项资金的通知</t>
  </si>
  <si>
    <t>2013299其他组织事务支出</t>
  </si>
  <si>
    <t>黄财行发〔2023〕91号</t>
  </si>
  <si>
    <t>关于结算下达2022年下派选调生到村工作中央财政补助资金的通知</t>
  </si>
  <si>
    <t>与黄财行发〔2023〕36号合并结算</t>
  </si>
  <si>
    <t>黄财行发〔2023〕133号</t>
  </si>
  <si>
    <t>下达2023年纪检监察补助经费的通知</t>
  </si>
  <si>
    <t>2011199纪检监察事务-其他纪检监察事务支出</t>
  </si>
  <si>
    <t>黄财社发〔2023〕148号</t>
  </si>
  <si>
    <t>关于下达2023年社区服务专项资金的通知</t>
  </si>
  <si>
    <t>2080208基层政权建设和社区治理</t>
  </si>
  <si>
    <t>黄财农发〔2023〕156号</t>
  </si>
  <si>
    <t>关于下达2023年市级财政衔接推进乡村振兴补助资金（第二批）的通知</t>
  </si>
  <si>
    <t>联农带农富农产业发展资金493万，通村通组道路建设资金230万，必要的小型公益性基础设施补短板资金195万；</t>
  </si>
  <si>
    <t>黄财教发〔2023〕164号</t>
  </si>
  <si>
    <t>黄财建发〔2023〕155号</t>
  </si>
  <si>
    <t>关于下达2023年中央自然灾害救灾资金（干旱灾害）的通知</t>
  </si>
  <si>
    <t>224灾害防治及应急管理支出</t>
  </si>
  <si>
    <t>黄财社发〔2023〕170号</t>
  </si>
  <si>
    <t>关于下达2023年省级残疾人两项补贴资金的通知</t>
  </si>
  <si>
    <t>2081107残疾人生活和护理补贴</t>
  </si>
  <si>
    <t>黄财社发〔2023〕154号</t>
  </si>
  <si>
    <t>关于下达2023年中央财政医疗救助补助资金的通知</t>
  </si>
  <si>
    <t>2101301城乡医疗救助</t>
  </si>
  <si>
    <t>黄财教发〔2023〕165号</t>
  </si>
  <si>
    <t>关于下达2023年楚天视讯在职乡改人员“以钱养事”专项资金的通知</t>
  </si>
  <si>
    <t>2070899其他广播电视支出</t>
  </si>
  <si>
    <t xml:space="preserve">4.5*11=49.5  </t>
  </si>
  <si>
    <t>黄财社发〔2023〕177号</t>
  </si>
  <si>
    <t>关于下达2023年省级优抚和退役安置转移支付资金的通知</t>
  </si>
  <si>
    <t>2080901退役士兵安置；
2080805义务兵优待；
20808抚恤</t>
  </si>
  <si>
    <t>黄财社发〔2023〕178号</t>
  </si>
  <si>
    <t>关于下达各城区2022年度社保扩面征缴专项行动奖补资金的通知</t>
  </si>
  <si>
    <t>2089999其他社会保障和就业支出</t>
  </si>
  <si>
    <t>黄财社发〔2023〕187号</t>
  </si>
  <si>
    <t>关于下达2023年中央财政困难群众救助补助资金的通知</t>
  </si>
  <si>
    <t>黄财社发〔2023〕195号</t>
  </si>
  <si>
    <t>关于下达2023年中央财政医疗服务与保障能力提升补助资金（医疗保障服务能力建设部分）的通知</t>
  </si>
  <si>
    <t>21015医疗保障管理事务</t>
  </si>
  <si>
    <t>医疗保障服务能力建设</t>
  </si>
  <si>
    <t>黄财社发〔2023〕196号</t>
  </si>
  <si>
    <t>关于下达2023年中央财政残疾人事业发展补助资金的通知</t>
  </si>
  <si>
    <t>黄财建发〔2023〕184号</t>
  </si>
  <si>
    <t>关于下达2023年省级防灾减灾体系建设资金的通知</t>
  </si>
  <si>
    <t>综合减灾示范社区（村）</t>
  </si>
  <si>
    <t>黄财建发〔2023〕147号</t>
  </si>
  <si>
    <t>关于下达2023年第一季度重点项目拉练考核奖励资金和结算上解的通知</t>
  </si>
  <si>
    <t>2299999其他支出</t>
  </si>
  <si>
    <r>
      <rPr>
        <sz val="10"/>
        <color rgb="FFFF0000"/>
        <rFont val="宋体"/>
        <charset val="134"/>
      </rPr>
      <t xml:space="preserve">上解30万；
</t>
    </r>
    <r>
      <rPr>
        <sz val="10"/>
        <rFont val="宋体"/>
        <charset val="134"/>
      </rPr>
      <t>宏和高端电子级玻璃纤维布项目24万；全洋光电高精度金属掩膜版项目24万；赛维尔医疗耗材生产基地项目24万；</t>
    </r>
  </si>
  <si>
    <t>黄财建发〔2023〕191号</t>
  </si>
  <si>
    <t>关于下达2023年第二季度重点项目拉练考核奖励资金和结算上解的通知</t>
  </si>
  <si>
    <r>
      <rPr>
        <sz val="10"/>
        <color theme="1"/>
        <rFont val="宋体"/>
        <charset val="134"/>
      </rPr>
      <t>宝科智能装备产业园二期；</t>
    </r>
    <r>
      <rPr>
        <sz val="10"/>
        <color rgb="FFFF0000"/>
        <rFont val="宋体"/>
        <charset val="134"/>
      </rPr>
      <t>上解30万</t>
    </r>
  </si>
  <si>
    <t>黄财建发〔2023〕193号</t>
  </si>
  <si>
    <t>关于下达2023年省预算内基建投资和省级服务业发展引导资金的通知</t>
  </si>
  <si>
    <t>2010399
2169999</t>
  </si>
  <si>
    <t>固定资产投资及省重点项目建设目标考核奖励资金20万；
省级服务业发展引导资金780万；</t>
  </si>
  <si>
    <t>黄财社发〔2023〕201号</t>
  </si>
  <si>
    <t>关于下达2023年度基本公共卫生服务补助资金预算的通知</t>
  </si>
  <si>
    <t>待分配</t>
  </si>
  <si>
    <t>黄财社发〔2023〕206号</t>
  </si>
  <si>
    <t>关于下达2023年中央就业补助资金的通知</t>
  </si>
  <si>
    <t>黄财建发〔2023〕211号</t>
  </si>
  <si>
    <t>关于下达2023年中央和省级农村危房改造补助资金预算的通知</t>
  </si>
  <si>
    <t>黄财社发〔2023〕216号</t>
  </si>
  <si>
    <t>关于下达2023年省级残疾人事业发展补助资金的通知</t>
  </si>
  <si>
    <t>黄财社发〔2023〕200号</t>
  </si>
  <si>
    <t>关于下达2023年部分省级民政转移支付资金的通知</t>
  </si>
  <si>
    <t>20899其他社会保障和就业支出</t>
  </si>
  <si>
    <t>黄财建发〔2023〕212号</t>
  </si>
  <si>
    <t>关于下达2023年中央基建投资预算的通知</t>
  </si>
  <si>
    <t>2130504农村基础设施建设</t>
  </si>
  <si>
    <t>湖北威辰环境科技有限公司生产线设备及工艺优化项目</t>
  </si>
  <si>
    <t>黄财教发〔2023〕220号</t>
  </si>
  <si>
    <t>关于下达2023年义务教育薄弱环节改善与能力提升补助资金预算的通知</t>
  </si>
  <si>
    <t>10月已分配</t>
  </si>
  <si>
    <t>黄财教发〔2023〕221号</t>
  </si>
  <si>
    <t>关于下达2023年支持学前教育发展资金预算的通知</t>
  </si>
  <si>
    <t>黄财社发〔2023〕225号</t>
  </si>
  <si>
    <t>关于下达2023年高校毕业生“三支一扶”计划省级财政补助资金的通知</t>
  </si>
  <si>
    <t>黄财社发〔2023〕226号</t>
  </si>
  <si>
    <t>关于下达2022年高校毕业生“三支一扶”计划补助资金的通知</t>
  </si>
  <si>
    <t>系统未下达</t>
  </si>
  <si>
    <t>黄财社发〔2023〕232号</t>
  </si>
  <si>
    <t>关于下达2023年度中央和省级计划生育转移支付资金的通知</t>
  </si>
  <si>
    <t>黄财社发〔2023〕233号</t>
  </si>
  <si>
    <t>关于下达2023年度中央和省级基本药物制度补助资金的通知</t>
  </si>
  <si>
    <t>黄财社发【2023】235号</t>
  </si>
  <si>
    <t>关于拨付2023年省级财政衔接推进乡村振兴补助资金（新型农业经营主体贴息）的通知</t>
  </si>
  <si>
    <t>213农林水支出；
21305巩固脱贫攻坚成果衔接乡村振兴</t>
  </si>
  <si>
    <t>中央农业经营主体能力提升资金（设施农业）3万元
省级财政衔接推进乡村振兴补助资金（新型农业经营主体贴息）69万元；</t>
  </si>
  <si>
    <t>黄财农发【2023】236号</t>
  </si>
  <si>
    <t>关于下达2023年市级财政衔接推进乡村振兴补助资金（第三批）的通知</t>
  </si>
  <si>
    <t>固定性转移收支明细表-2022年对账后修订</t>
  </si>
  <si>
    <t>项         目</t>
  </si>
  <si>
    <t>铁山</t>
  </si>
  <si>
    <t>省下文号</t>
  </si>
  <si>
    <t>二、省财政补助收入</t>
  </si>
  <si>
    <t>（一）返还性收入</t>
  </si>
  <si>
    <t>增值税税收返还收入基数</t>
  </si>
  <si>
    <t>鄂财预发[2016]号</t>
  </si>
  <si>
    <t>营改增税收返还收入基数</t>
  </si>
  <si>
    <t>鄂财预发[2016]086号</t>
  </si>
  <si>
    <t>黄财预发[2019]273号</t>
  </si>
  <si>
    <t>（二）一般性转移支付收入</t>
  </si>
  <si>
    <t>1、均衡性转移支付</t>
  </si>
  <si>
    <t>离职村干部岗位补贴补助（基数）</t>
  </si>
  <si>
    <t>在职村干部转移支付补助（基数）</t>
  </si>
  <si>
    <t>鄂财农发[2013]222号</t>
  </si>
  <si>
    <t>2015年村主职干部报酬转移支付（基数）</t>
  </si>
  <si>
    <t>鄂财农发［2015］071号</t>
  </si>
  <si>
    <t>关于下达村级组织运转保障新增经费及村主职干部养老保险缴费补贴的通知</t>
  </si>
  <si>
    <t>鄂财农村发〔2021〕14号固定基数</t>
  </si>
  <si>
    <t>黄财农村发〔2021〕322号</t>
  </si>
  <si>
    <t>2、县级基本财力保障补助</t>
  </si>
  <si>
    <t>原规范津补贴和绩效工资补助</t>
  </si>
  <si>
    <t>鄂财预发[2011]063号</t>
  </si>
  <si>
    <t>义务教育绩效工资</t>
  </si>
  <si>
    <t>县级基本财力保障机制奖补</t>
  </si>
  <si>
    <t>鄂财预发[2020]5号</t>
  </si>
  <si>
    <t>黄财农村发[2019]233号</t>
  </si>
  <si>
    <t>3、结算补助收入</t>
  </si>
  <si>
    <t>楚天视讯在职乡改人员补助</t>
  </si>
  <si>
    <t>黄财教发[2021]214号</t>
  </si>
  <si>
    <t>契税分解补助</t>
  </si>
  <si>
    <t>清算2017-2018年增值税“五五分享”税返补助</t>
  </si>
  <si>
    <t>黄财预发[2020]66号</t>
  </si>
  <si>
    <t>4、固定补助收入</t>
  </si>
  <si>
    <t>（1）调整工资转移支付补助收入（含艰边津贴）</t>
  </si>
  <si>
    <t>原调资转移支付补助基数</t>
  </si>
  <si>
    <t>2015年新增调资转移支付补助基数</t>
  </si>
  <si>
    <t>鄂财预发[2015]037号</t>
  </si>
  <si>
    <t>2016年新增调资转移支付补助</t>
  </si>
  <si>
    <t>鄂财预发[2016]088号</t>
  </si>
  <si>
    <t>2018年新增调资转移支付补助</t>
  </si>
  <si>
    <t>鄂财预发[2018]69号</t>
  </si>
  <si>
    <t>黄财预发[2019]223号</t>
  </si>
  <si>
    <t>2019年新增调资转移支付补助</t>
  </si>
  <si>
    <t>鄂财预发[2019]78号</t>
  </si>
  <si>
    <t>黄财预发[2020]7号</t>
  </si>
  <si>
    <t>关于下达2021-2022年调整机关事业单位工作人员基本工资标准和离休人员离休费转移支付补助的通知</t>
  </si>
  <si>
    <t>鄂财预发〔2022〕5号</t>
  </si>
  <si>
    <t>黄财预发〔2022〕50号</t>
  </si>
  <si>
    <t>（2）农村税费改革转移支付补助收入</t>
  </si>
  <si>
    <t>固定性转移支付</t>
  </si>
  <si>
    <t>固定基数</t>
  </si>
  <si>
    <t>调减固定性转移支付（2016，待定）</t>
  </si>
  <si>
    <t>过渡性转移支付</t>
  </si>
  <si>
    <t>新增农村五保户转移支付</t>
  </si>
  <si>
    <t>鄂财社发[2015]020号固定</t>
  </si>
  <si>
    <t>国有农场综合改革转移支付</t>
  </si>
  <si>
    <t>国有小三场综合改革转移支付（农牧渔良种场）</t>
  </si>
  <si>
    <t>鄂财预发［2010］107号固定</t>
  </si>
  <si>
    <t>市局每年下文：2.7万元</t>
  </si>
  <si>
    <t>农业税免征取消农业特产税转移支付补助</t>
  </si>
  <si>
    <t>（3）企业事业单位划转补助收入</t>
  </si>
  <si>
    <t>2011年药监下划补助（含津补贴）</t>
  </si>
  <si>
    <t>鄂财社发[2011]78号、51号</t>
  </si>
  <si>
    <t>关于下达全省监察体制改革人员转隶后划转经费基数的通知</t>
  </si>
  <si>
    <t>鄂财行发［2019］3号</t>
  </si>
  <si>
    <t>解决国有企业职教幼教退休教师待遇补助资金（基数）</t>
  </si>
  <si>
    <t>鄂财企发［2017］73号</t>
  </si>
  <si>
    <t>黄财教发［2019］173号</t>
  </si>
  <si>
    <t>（4）其他固定补助收入</t>
  </si>
  <si>
    <t>开发区法庭补助</t>
  </si>
  <si>
    <t>定额结算</t>
  </si>
  <si>
    <t>村级医疗机构补助基数（乡村医生、村卫生室）</t>
  </si>
  <si>
    <t>鄂财社发[2014]16号基数</t>
  </si>
  <si>
    <t>黄财社发[2021]63号</t>
  </si>
  <si>
    <t>2011年新增企事业划转补助基数</t>
  </si>
  <si>
    <t>固投调节税暂停征收财政减收补助</t>
  </si>
  <si>
    <t>2018年全省各地审计专项补助经费</t>
  </si>
  <si>
    <t>鄂财行发［2018］39号</t>
  </si>
  <si>
    <t>黄财行发［2019］148号</t>
  </si>
  <si>
    <t>农村义务教育骨干教师补助（基数）</t>
  </si>
  <si>
    <t>鄂财教发［2014］125号</t>
  </si>
  <si>
    <t>2018年底农村义务教育阶段教师统招统派补助资金（基数）</t>
  </si>
  <si>
    <t>鄂财教发［2018］63号</t>
  </si>
  <si>
    <t>黄财教发［2018］268号</t>
  </si>
  <si>
    <t>人武职工补助资金</t>
  </si>
  <si>
    <t>鄂财预发［2019］31号</t>
  </si>
  <si>
    <t>19年固定基数</t>
  </si>
  <si>
    <t>国有企业办中小学退休教师教辅补差经费补助</t>
  </si>
  <si>
    <t>国土资源部门分流人员经费补助</t>
  </si>
  <si>
    <t>市级下放学校经费补助</t>
  </si>
  <si>
    <t>困难性补助</t>
  </si>
  <si>
    <t>体制补助</t>
  </si>
  <si>
    <t>环保下放补助</t>
  </si>
  <si>
    <t>2017年城维费结算资金</t>
  </si>
  <si>
    <t>黄财建发[2017]363号</t>
  </si>
  <si>
    <t>城管执法部门预算支出基数</t>
  </si>
  <si>
    <t>团城山、花湖社会事务移交预结算（2017年保基数）</t>
  </si>
  <si>
    <t>两镇一区移交预结算</t>
  </si>
  <si>
    <t>城区市场监督管理局预算经费下划基数</t>
  </si>
  <si>
    <t>黄财行发［2019］264号</t>
  </si>
  <si>
    <t>城市义务教育学校绩效工资补助</t>
  </si>
  <si>
    <t>城区托管退休教师生活补贴补助</t>
  </si>
  <si>
    <t>黄财教发 [2020] 120号</t>
  </si>
  <si>
    <t>5、社会保障和就业共同财政事权转移支付收入</t>
  </si>
  <si>
    <t>企业职工养老保险补助资金（含市级）</t>
  </si>
  <si>
    <t>列收列支项目</t>
  </si>
  <si>
    <t>2019年5000，2020年4994</t>
  </si>
  <si>
    <t>（三）专项转移支付收入</t>
  </si>
  <si>
    <t>二、上解省财政支出</t>
  </si>
  <si>
    <t>(一)原体制上解支出</t>
  </si>
  <si>
    <t>体制上解</t>
  </si>
  <si>
    <t>城区超收结算上解</t>
  </si>
  <si>
    <t>城区城建税上解</t>
  </si>
  <si>
    <t>城区教育费附加上解</t>
  </si>
  <si>
    <t>(二)调整完善财政体制上解（待定）（四税上解）</t>
  </si>
  <si>
    <t>鄂财预发［2016］号</t>
  </si>
  <si>
    <t>(三)专项上解支出</t>
  </si>
  <si>
    <t>1、定额结算专项上解</t>
  </si>
  <si>
    <t>⑤耕地占用税、契税征收经费专项上解</t>
  </si>
  <si>
    <t>⑥工商部门上划</t>
  </si>
  <si>
    <t>⑦卫生防疫部门上划</t>
  </si>
  <si>
    <t>⑧三环离合器公司划转上解</t>
  </si>
  <si>
    <t>⑨青啤公司划转上解</t>
  </si>
  <si>
    <t>2、税务部门管理体制改革上划基数</t>
  </si>
  <si>
    <t>鄂财教发[2016]041号</t>
  </si>
  <si>
    <t>3、市县检察院法院上划基数</t>
  </si>
  <si>
    <t>鄂财行二发［2017］6号</t>
  </si>
  <si>
    <t>9、城区公安上划经费上解</t>
  </si>
  <si>
    <t>鄂财社发［2020］90号</t>
  </si>
  <si>
    <t>2023年开发区·铁山区一般公共预算支出变动表（功能分类）</t>
  </si>
  <si>
    <t>预算变动因素</t>
  </si>
  <si>
    <t>调剂</t>
  </si>
  <si>
    <t>追加</t>
  </si>
  <si>
    <t>转移支付及债券</t>
  </si>
  <si>
    <t>上年结转</t>
  </si>
  <si>
    <t>追减</t>
  </si>
  <si>
    <r>
      <rPr>
        <b/>
        <sz val="10"/>
        <color rgb="FF000000"/>
        <rFont val="Calibri"/>
        <charset val="0"/>
      </rPr>
      <t>[204]</t>
    </r>
    <r>
      <rPr>
        <b/>
        <sz val="10"/>
        <color rgb="FF000000"/>
        <rFont val="宋体"/>
        <charset val="0"/>
      </rPr>
      <t>公共安全支出</t>
    </r>
  </si>
  <si>
    <t>2023年开发区·铁山区一般公共预算支出变动表（项目明细）</t>
  </si>
  <si>
    <t>单位名称</t>
  </si>
  <si>
    <t>项目名称</t>
  </si>
  <si>
    <t>年初预算数</t>
  </si>
  <si>
    <t>拟调整数</t>
  </si>
  <si>
    <t>说     明</t>
  </si>
  <si>
    <t>调增</t>
  </si>
  <si>
    <t>调减</t>
  </si>
  <si>
    <t>汇总</t>
  </si>
  <si>
    <t>各相关部门</t>
  </si>
  <si>
    <t>减税财力补助安排1050万元。</t>
  </si>
  <si>
    <t>转移支付补助支出项目</t>
  </si>
  <si>
    <t>包含年初预估部分</t>
  </si>
  <si>
    <t>新增一般债券支出项目</t>
  </si>
  <si>
    <t>上年结转支出项目</t>
  </si>
  <si>
    <t>年初预算项目之间调剂</t>
  </si>
  <si>
    <t>区人大</t>
  </si>
  <si>
    <t>人大经常性项目</t>
  </si>
  <si>
    <t>人大会议、代表活动经费</t>
  </si>
  <si>
    <t>区政协</t>
  </si>
  <si>
    <t>政协经常性项目</t>
  </si>
  <si>
    <t>政协会议、委员活动费</t>
  </si>
  <si>
    <t>社保科</t>
  </si>
  <si>
    <t>城乡居民养老保险--转移支付</t>
  </si>
  <si>
    <t>铁山街道</t>
  </si>
  <si>
    <t>经常性项目</t>
  </si>
  <si>
    <t>其中：铁投还本付息调减3000万（非税收入安排）；年初预留-3年过渡期财力补助调减350万；绿化维护40万</t>
  </si>
  <si>
    <t>铁山三小</t>
  </si>
  <si>
    <t>公办园公用经费</t>
  </si>
  <si>
    <t>机关事业单位养老保险补助(铁)</t>
  </si>
  <si>
    <t>调剂187万用于五类人员年金记实</t>
  </si>
  <si>
    <t>预备费</t>
  </si>
  <si>
    <t>年初预留-铁山</t>
  </si>
  <si>
    <t>政府债券利息支出(铁)</t>
  </si>
  <si>
    <t>区党政办</t>
  </si>
  <si>
    <t>职工体检经费</t>
  </si>
  <si>
    <t>公务用车购置</t>
  </si>
  <si>
    <t>巡视组工作经费</t>
  </si>
  <si>
    <t>省委第八巡视组巡视期间专项经费</t>
  </si>
  <si>
    <t>机要保密专项费用</t>
  </si>
  <si>
    <t>加密系统密码设备换装，一次性支出。（密件）</t>
  </si>
  <si>
    <t>商务接待</t>
  </si>
  <si>
    <t>区组织部</t>
  </si>
  <si>
    <t>组织专项工作经费</t>
  </si>
  <si>
    <t>派聘书记生活补贴</t>
  </si>
  <si>
    <t>人才专项工作经费</t>
  </si>
  <si>
    <t>老干部工作经费</t>
  </si>
  <si>
    <t>慰问经费</t>
  </si>
  <si>
    <t>村级运转保障-正常离任村干部生活补贴</t>
  </si>
  <si>
    <t>村级运转保障-后备干部工作补贴</t>
  </si>
  <si>
    <t>另调剂10万到基层党建专项工作经费用于主题教育10万工作经费</t>
  </si>
  <si>
    <t>区纪委</t>
  </si>
  <si>
    <t>纪委监委专项工作经费</t>
  </si>
  <si>
    <t>纪委监委办案经费</t>
  </si>
  <si>
    <t>非税收入</t>
  </si>
  <si>
    <t>区政法委</t>
  </si>
  <si>
    <t>信访专项经费</t>
  </si>
  <si>
    <t>金山街道周志军拆迁上访息访事宜</t>
  </si>
  <si>
    <t>司法救助</t>
  </si>
  <si>
    <t>治安综合治理</t>
  </si>
  <si>
    <t>缅北涉诈人员劝返</t>
  </si>
  <si>
    <t>维稳专项经费</t>
  </si>
  <si>
    <t>政府救助险</t>
  </si>
  <si>
    <t>政法网络运维专项</t>
  </si>
  <si>
    <t>雪亮工程</t>
  </si>
  <si>
    <t>区武装部</t>
  </si>
  <si>
    <t>征兵工作经费</t>
  </si>
  <si>
    <t>国防动员、民兵训练</t>
  </si>
  <si>
    <t>区市监局</t>
  </si>
  <si>
    <t>专利专项发展资金</t>
  </si>
  <si>
    <t>区财政局</t>
  </si>
  <si>
    <t>防范金融风险专项</t>
  </si>
  <si>
    <t>财政专项业务</t>
  </si>
  <si>
    <t>驻村工作经费</t>
  </si>
  <si>
    <t>区审计局</t>
  </si>
  <si>
    <t>审计业务</t>
  </si>
  <si>
    <t>区群团</t>
  </si>
  <si>
    <t>团区委工作经费</t>
  </si>
  <si>
    <t>五月诗歌颂</t>
  </si>
  <si>
    <t>工会专项工作经费</t>
  </si>
  <si>
    <t>区委宣传部</t>
  </si>
  <si>
    <t>创文创卫工作经费</t>
  </si>
  <si>
    <t>调剂20万给卫健局国卫复审工作经费</t>
  </si>
  <si>
    <t>区统战部</t>
  </si>
  <si>
    <t>民主党派团体</t>
  </si>
  <si>
    <t>区政数局</t>
  </si>
  <si>
    <t>档案管理</t>
  </si>
  <si>
    <t>区民企中心</t>
  </si>
  <si>
    <t>公车购置经费</t>
  </si>
  <si>
    <t>法律诉讼咨询费</t>
  </si>
  <si>
    <t>产业引导资金</t>
  </si>
  <si>
    <t>区统计局</t>
  </si>
  <si>
    <t>统计调查经费</t>
  </si>
  <si>
    <t>区司法局</t>
  </si>
  <si>
    <t>社区矫正帮教安置工作经费</t>
  </si>
  <si>
    <t>区农业农村局</t>
  </si>
  <si>
    <t>劳务派遣司机</t>
  </si>
  <si>
    <t>退垸还湖土地扭转资金</t>
  </si>
  <si>
    <t>非税收入安排31.1万；
基金支出调整108万</t>
  </si>
  <si>
    <t>粮食补贴</t>
  </si>
  <si>
    <t>政策取消</t>
  </si>
  <si>
    <t>库区粮食直补</t>
  </si>
  <si>
    <t>山洪灾害监测系统维护费</t>
  </si>
  <si>
    <t>水利专项工作经费</t>
  </si>
  <si>
    <t>厕所革命</t>
  </si>
  <si>
    <t>一村多名大学生</t>
  </si>
  <si>
    <t>乡村振兴工作经费</t>
  </si>
  <si>
    <t>农业农村工作经费</t>
  </si>
  <si>
    <t>农林水专项工作经费</t>
  </si>
  <si>
    <t>大冶湖渔业资源保护和管理资金</t>
  </si>
  <si>
    <t>区人社局</t>
  </si>
  <si>
    <t>基层劳动关系公共服务站点建设经费</t>
  </si>
  <si>
    <t>人社专项工作经费</t>
  </si>
  <si>
    <t>区聘人员经费</t>
  </si>
  <si>
    <t>机关事业单位养老保险补助</t>
  </si>
  <si>
    <t>调剂405万用于五类人员职业年金记实</t>
  </si>
  <si>
    <t>服务企业用工稳工补贴</t>
  </si>
  <si>
    <t>区民政局</t>
  </si>
  <si>
    <t>汪仁福利院建设</t>
  </si>
  <si>
    <t>福利机构经费</t>
  </si>
  <si>
    <t>区残联</t>
  </si>
  <si>
    <t>残疾人鉴定费用</t>
  </si>
  <si>
    <t>残疾人康复经费</t>
  </si>
  <si>
    <t>区退役局</t>
  </si>
  <si>
    <t>优抚金</t>
  </si>
  <si>
    <t>义务兵优待金</t>
  </si>
  <si>
    <t>退役士兵安置</t>
  </si>
  <si>
    <t>军转干经费</t>
  </si>
  <si>
    <t>区卫健局</t>
  </si>
  <si>
    <t>严重精神障碍高风险患者监护人补助</t>
  </si>
  <si>
    <t>乡村医生基药补助</t>
  </si>
  <si>
    <t>计划生育服务费</t>
  </si>
  <si>
    <t>汪仁卫生院</t>
  </si>
  <si>
    <t>区聘人员</t>
  </si>
  <si>
    <t>实际执行在基药补助项目</t>
  </si>
  <si>
    <t>四棵卫生院</t>
  </si>
  <si>
    <t>大王卫生院</t>
  </si>
  <si>
    <t>人事代理</t>
  </si>
  <si>
    <t>阳新政策已取消</t>
  </si>
  <si>
    <t>太子卫生院</t>
  </si>
  <si>
    <t>区医保局</t>
  </si>
  <si>
    <t>金山、汪仁拆迁户2023年城乡居民基本医疗保险个人缴费百分之50部分</t>
  </si>
  <si>
    <t>城乡居民医疗保险区级配套</t>
  </si>
  <si>
    <t>困难群众医疗救助</t>
  </si>
  <si>
    <t>区教育局</t>
  </si>
  <si>
    <t>教育专项工作经费</t>
  </si>
  <si>
    <t>高校选址推介费</t>
  </si>
  <si>
    <t>普惠性民办幼儿园生均经费</t>
  </si>
  <si>
    <t>保利时代小区配套幼儿园装修款</t>
  </si>
  <si>
    <t>非税收入安排</t>
  </si>
  <si>
    <t>劳务派遣教师工资</t>
  </si>
  <si>
    <t>银龄讲学计划</t>
  </si>
  <si>
    <t>学校建设及维修改造</t>
  </si>
  <si>
    <t>外国语学校收购-高层次人才经费</t>
  </si>
  <si>
    <t>铁山退休教师一次住房货币化补贴</t>
  </si>
  <si>
    <t>鹏程中学</t>
  </si>
  <si>
    <t>寄宿生公用经费</t>
  </si>
  <si>
    <t>汪仁中学</t>
  </si>
  <si>
    <t>河口中学</t>
  </si>
  <si>
    <t>校园保洁费</t>
  </si>
  <si>
    <t>大王中学</t>
  </si>
  <si>
    <t>金山中心学校</t>
  </si>
  <si>
    <t>公办园保教费</t>
  </si>
  <si>
    <t>新机制公用经费</t>
  </si>
  <si>
    <t>汪仁中心学校</t>
  </si>
  <si>
    <t>校车运行经费</t>
  </si>
  <si>
    <t>太子中心学校</t>
  </si>
  <si>
    <t>大王中心学校</t>
  </si>
  <si>
    <t>教学点公用经费</t>
  </si>
  <si>
    <t>黄石外国语学校</t>
  </si>
  <si>
    <t>区聘教师</t>
  </si>
  <si>
    <t>区文旅局</t>
  </si>
  <si>
    <t>公共文化建设费</t>
  </si>
  <si>
    <t>图书馆、文化站免费开放</t>
  </si>
  <si>
    <t>农村文化建设地方配套</t>
  </si>
  <si>
    <t>文旅专项工作经费</t>
  </si>
  <si>
    <t>区创业服务中心</t>
  </si>
  <si>
    <t>招商经费</t>
  </si>
  <si>
    <t>区发改局</t>
  </si>
  <si>
    <t>援疆专项经费</t>
  </si>
  <si>
    <t>人防工作经费</t>
  </si>
  <si>
    <t>普通光伏项目补贴</t>
  </si>
  <si>
    <t>区招商局</t>
  </si>
  <si>
    <t>区经信局</t>
  </si>
  <si>
    <t>商务工作经费</t>
  </si>
  <si>
    <t>金融商务局开办费</t>
  </si>
  <si>
    <t>信访维稳、医药费资金</t>
  </si>
  <si>
    <t>改制企业职工生活费</t>
  </si>
  <si>
    <t>区建设局</t>
  </si>
  <si>
    <t>S315省道可行性缺口补助</t>
  </si>
  <si>
    <t>玉兴机械可靠性鉴定</t>
  </si>
  <si>
    <t>已完工村级零星工程</t>
  </si>
  <si>
    <t>基金支出调整到公共预算列支</t>
  </si>
  <si>
    <t>新型城镇化基础设施建设</t>
  </si>
  <si>
    <t>两镇一区污水运行费</t>
  </si>
  <si>
    <t>区住保局</t>
  </si>
  <si>
    <t>益民公司还建楼代建项目</t>
  </si>
  <si>
    <t>区城管局</t>
  </si>
  <si>
    <t>城管协管员经费</t>
  </si>
  <si>
    <t>新增城管执法大队直属中队，部分从汪仁和金山调剂人员，新增部分人员</t>
  </si>
  <si>
    <t>区城管执法大队直属中队工作经费</t>
  </si>
  <si>
    <t>政府常务会【2023】5号会议纪要</t>
  </si>
  <si>
    <t>道路路灯电费</t>
  </si>
  <si>
    <t>市容环境整治工作经费</t>
  </si>
  <si>
    <t>城管考评专项</t>
  </si>
  <si>
    <t>非税收入安排的支出调减100万</t>
  </si>
  <si>
    <t>区应急局</t>
  </si>
  <si>
    <t>应急费用补偿保险</t>
  </si>
  <si>
    <t>区环保局</t>
  </si>
  <si>
    <t>国控点搬迁</t>
  </si>
  <si>
    <t>重污染天气应急预案编制</t>
  </si>
  <si>
    <t>环境监察能力建设专项经费</t>
  </si>
  <si>
    <t>区自规局</t>
  </si>
  <si>
    <t>土地招商推介经费</t>
  </si>
  <si>
    <t>矿山恢复治理</t>
  </si>
  <si>
    <t>耕地流出整改工作经费</t>
  </si>
  <si>
    <t>已执行一半</t>
  </si>
  <si>
    <t>自规专项工作经费</t>
  </si>
  <si>
    <t>新立矿山项目经费</t>
  </si>
  <si>
    <t>汪仁镇</t>
  </si>
  <si>
    <t>镇街运行</t>
  </si>
  <si>
    <t>非税收入安排：2022年应拨未拨64.55万，2023年新增林地矛盾15万</t>
  </si>
  <si>
    <t>神通光电项目拆迁工作相关费用</t>
  </si>
  <si>
    <t>金山街道</t>
  </si>
  <si>
    <t>社区专项服务经费</t>
  </si>
  <si>
    <t>新增一个兴隆社区开办费</t>
  </si>
  <si>
    <t>太子镇</t>
  </si>
  <si>
    <t>镇街统筹经费</t>
  </si>
  <si>
    <t>解决黄阳一级公路遗留问题</t>
  </si>
  <si>
    <t>经常性支出</t>
  </si>
  <si>
    <t>电子政务外围、聘用人员、招商经费等</t>
  </si>
  <si>
    <t>刘太公路建设</t>
  </si>
  <si>
    <t>剩余部分列入2024年预算</t>
  </si>
  <si>
    <t>太子财经所</t>
  </si>
  <si>
    <t>大王镇</t>
  </si>
  <si>
    <t>有色湖补偿款</t>
  </si>
  <si>
    <t>2023年执行130万元，剩余100万元列入2024年预算</t>
  </si>
  <si>
    <t>章山街道</t>
  </si>
  <si>
    <t>办公楼运维、会议费等</t>
  </si>
  <si>
    <t>消防业务费</t>
  </si>
  <si>
    <t>增补消防装备</t>
  </si>
  <si>
    <t>稳市场财政贴息</t>
  </si>
  <si>
    <t>汪仁污水处理运行</t>
  </si>
  <si>
    <t>农村公益事业一事一议</t>
  </si>
  <si>
    <t>税务经费</t>
  </si>
  <si>
    <t>年初预留</t>
  </si>
  <si>
    <t>疫情防控</t>
  </si>
  <si>
    <t>通过转移支付安排</t>
  </si>
  <si>
    <t>共同缔造</t>
  </si>
  <si>
    <t>购房补贴</t>
  </si>
  <si>
    <t>兑现2023年第一、二、三季度，第4季度列入2024年预算</t>
  </si>
  <si>
    <t>政府债券利息支出(一般)</t>
  </si>
  <si>
    <t>新开行疫情贷款还本</t>
  </si>
  <si>
    <t>已列支两年度，市级结算第二年度。第三年度递延至以后年度预算安排。</t>
  </si>
  <si>
    <t>2023年开发区·铁山区政府性基金预算收支平衡调整表</t>
  </si>
  <si>
    <r>
      <rPr>
        <b/>
        <sz val="11"/>
        <color indexed="8"/>
        <rFont val="黑体"/>
        <charset val="134"/>
      </rPr>
      <t>收</t>
    </r>
    <r>
      <rPr>
        <b/>
        <sz val="12"/>
        <rFont val="黑体"/>
        <charset val="0"/>
      </rPr>
      <t xml:space="preserve">                          </t>
    </r>
    <r>
      <rPr>
        <b/>
        <sz val="11"/>
        <color theme="1"/>
        <rFont val="黑体"/>
        <charset val="134"/>
      </rPr>
      <t>入</t>
    </r>
  </si>
  <si>
    <r>
      <rPr>
        <b/>
        <sz val="11"/>
        <color indexed="8"/>
        <rFont val="黑体"/>
        <charset val="134"/>
      </rPr>
      <t>支</t>
    </r>
    <r>
      <rPr>
        <b/>
        <sz val="12"/>
        <rFont val="黑体"/>
        <charset val="0"/>
      </rPr>
      <t xml:space="preserve">                          </t>
    </r>
    <r>
      <rPr>
        <b/>
        <sz val="11"/>
        <color theme="1"/>
        <rFont val="黑体"/>
        <charset val="134"/>
      </rPr>
      <t>出</t>
    </r>
  </si>
  <si>
    <r>
      <rPr>
        <sz val="11"/>
        <rFont val="黑体"/>
        <charset val="134"/>
      </rPr>
      <t>项</t>
    </r>
    <r>
      <rPr>
        <sz val="11"/>
        <rFont val="黑体"/>
        <charset val="0"/>
      </rPr>
      <t xml:space="preserve">          </t>
    </r>
    <r>
      <rPr>
        <sz val="11"/>
        <rFont val="黑体"/>
        <charset val="134"/>
      </rPr>
      <t>目</t>
    </r>
  </si>
  <si>
    <t>2022年执行数</t>
  </si>
  <si>
    <t>2023年调整数</t>
  </si>
  <si>
    <t>一、港口建设费收入</t>
  </si>
  <si>
    <t>一、城乡社区支出</t>
  </si>
  <si>
    <t>二、散装水泥专项资金收入</t>
  </si>
  <si>
    <t xml:space="preserve">    国有土地使用权出让收入安排的支出</t>
  </si>
  <si>
    <t>三、新型墙体材料专项基金收入</t>
  </si>
  <si>
    <t xml:space="preserve">       征地和拆迁补偿支出</t>
  </si>
  <si>
    <t>四、新菜地开发建设基金收入</t>
  </si>
  <si>
    <t xml:space="preserve">       土地开发支出</t>
  </si>
  <si>
    <t>五、水土保持补偿费收入</t>
  </si>
  <si>
    <t xml:space="preserve">       城市建设支出</t>
  </si>
  <si>
    <t>六、政府住房基金收入</t>
  </si>
  <si>
    <t xml:space="preserve">       农村基础设施建设支出</t>
  </si>
  <si>
    <t xml:space="preserve">      上缴管理费用</t>
  </si>
  <si>
    <t xml:space="preserve">       补助被征地农民支出</t>
  </si>
  <si>
    <t xml:space="preserve">      计提公共租赁住房资金</t>
  </si>
  <si>
    <t xml:space="preserve">       土地出让业务支出</t>
  </si>
  <si>
    <t xml:space="preserve">      公共租赁住房租金收入</t>
  </si>
  <si>
    <t xml:space="preserve">       廉租住房支出</t>
  </si>
  <si>
    <t xml:space="preserve">      配建商业设施租售收入</t>
  </si>
  <si>
    <t xml:space="preserve">       教育资金安排的支出</t>
  </si>
  <si>
    <t xml:space="preserve">      其他政府住房基金收入</t>
  </si>
  <si>
    <t xml:space="preserve">       支付破产或改制企业职工安置费</t>
  </si>
  <si>
    <t>七、城市公用事业附加收入</t>
  </si>
  <si>
    <t xml:space="preserve">       棚户区改造支出</t>
  </si>
  <si>
    <t>八、国有土地收益基金收入</t>
  </si>
  <si>
    <t xml:space="preserve">       公共租赁住房支出</t>
  </si>
  <si>
    <t>九、农业土地开发资金收入</t>
  </si>
  <si>
    <t xml:space="preserve">       保障性住房租金补贴</t>
  </si>
  <si>
    <t>十、国有土地使用权出让收入</t>
  </si>
  <si>
    <t xml:space="preserve">       农业生产发展支出</t>
  </si>
  <si>
    <t xml:space="preserve">       土地出让价款收入</t>
  </si>
  <si>
    <t xml:space="preserve">       农村社会事业支出</t>
  </si>
  <si>
    <t xml:space="preserve">       补缴的土地价款</t>
  </si>
  <si>
    <t xml:space="preserve">       农业农村生态环境支出</t>
  </si>
  <si>
    <t xml:space="preserve">       划拨土地收入</t>
  </si>
  <si>
    <t xml:space="preserve">       其他国有土地使用权出让收入安排的支出</t>
  </si>
  <si>
    <t xml:space="preserve">       教育资金收入</t>
  </si>
  <si>
    <t xml:space="preserve">    国有土地收益基金支出</t>
  </si>
  <si>
    <t xml:space="preserve">       农田水利建设资金收入</t>
  </si>
  <si>
    <t>　     征地和拆迁补偿支出</t>
  </si>
  <si>
    <t xml:space="preserve">       缴纳新增建设用地土地有偿使用费</t>
  </si>
  <si>
    <t>　     土地开发支出</t>
  </si>
  <si>
    <t xml:space="preserve">       其他土地出让收入</t>
  </si>
  <si>
    <t>　     其他国有土地收益基金支出</t>
  </si>
  <si>
    <t>十一、城市基础设施配套费收入</t>
  </si>
  <si>
    <t xml:space="preserve">    农业土地开发资金支出</t>
  </si>
  <si>
    <t>十二、污水处理费收入</t>
  </si>
  <si>
    <t xml:space="preserve">    新增建设用地有偿使用费安排的支出</t>
  </si>
  <si>
    <t>十三、其他政府性基金收入</t>
  </si>
  <si>
    <t xml:space="preserve">       耕地开发专项支出</t>
  </si>
  <si>
    <t xml:space="preserve">       基本农田建设和保护支出</t>
  </si>
  <si>
    <t xml:space="preserve">       土地整理支出</t>
  </si>
  <si>
    <t xml:space="preserve">    城市基础设施配套费安排的支出</t>
  </si>
  <si>
    <t xml:space="preserve">       城市公共设施</t>
  </si>
  <si>
    <t xml:space="preserve">       城市环境卫生</t>
  </si>
  <si>
    <t xml:space="preserve">       其他城市基础设施配套费安排的支出</t>
  </si>
  <si>
    <t xml:space="preserve">    棚户区改造专项债券收入安排的支出</t>
  </si>
  <si>
    <t xml:space="preserve">       其他棚户区改造专项债务收入安排的支出</t>
  </si>
  <si>
    <t>二、其他支出</t>
  </si>
  <si>
    <t xml:space="preserve">    其他地方自行试点项目收益专项债券收入安排的支出</t>
  </si>
  <si>
    <t xml:space="preserve">    彩票公益金安排的支出</t>
  </si>
  <si>
    <t xml:space="preserve">       用于社会福利的彩票公益金支出</t>
  </si>
  <si>
    <t xml:space="preserve">       用于体育事业的彩票工业金支出</t>
  </si>
  <si>
    <t xml:space="preserve">       用于残疾人事业的彩票公益金支出</t>
  </si>
  <si>
    <t xml:space="preserve">       用于城乡医疗救助的彩票公益金支出</t>
  </si>
  <si>
    <t>三、债务付息支出</t>
  </si>
  <si>
    <t xml:space="preserve">       地方政府专项债务付息支出</t>
  </si>
  <si>
    <t>四、债务发行费支出</t>
  </si>
  <si>
    <t>收入合计</t>
  </si>
  <si>
    <t>支出合计</t>
  </si>
  <si>
    <t>转移性收入</t>
  </si>
  <si>
    <t>转移性支出</t>
  </si>
  <si>
    <t xml:space="preserve">    政府性基金转移收入</t>
  </si>
  <si>
    <t xml:space="preserve">    政府性基金转移支付</t>
  </si>
  <si>
    <t xml:space="preserve">    　  政府性基金补助收入</t>
  </si>
  <si>
    <t xml:space="preserve">    　  政府性基金补助支出</t>
  </si>
  <si>
    <t xml:space="preserve">    　  政府性基金上解收入</t>
  </si>
  <si>
    <t xml:space="preserve">    　  政府性基金上解支出</t>
  </si>
  <si>
    <t xml:space="preserve">    上年结余收入</t>
  </si>
  <si>
    <r>
      <rPr>
        <b/>
        <sz val="11"/>
        <color rgb="FF000000"/>
        <rFont val="宋体"/>
        <charset val="134"/>
      </rPr>
      <t xml:space="preserve"> </t>
    </r>
    <r>
      <rPr>
        <b/>
        <sz val="11"/>
        <color theme="1"/>
        <rFont val="宋体"/>
        <charset val="134"/>
      </rPr>
      <t xml:space="preserve">   地方政府专项债务还本支出</t>
    </r>
  </si>
  <si>
    <t xml:space="preserve">    地方政府专项债务收入</t>
  </si>
  <si>
    <t xml:space="preserve">    调出资金</t>
  </si>
  <si>
    <t xml:space="preserve">    调入资金</t>
  </si>
  <si>
    <t xml:space="preserve">    基金结余</t>
  </si>
  <si>
    <t>2023年开发区·铁山区国有资本经营预算收支调整表</t>
  </si>
  <si>
    <t>2023年
预算数</t>
  </si>
  <si>
    <t>2023调整预算数</t>
  </si>
  <si>
    <t>一、利润收入</t>
  </si>
  <si>
    <t>一、国有资本经营预算补充社保基金支出</t>
  </si>
  <si>
    <t>二、股息、股利收入</t>
  </si>
  <si>
    <t>二、解决历史遗留问题及改革成本支出</t>
  </si>
  <si>
    <t>三、产权转让收入</t>
  </si>
  <si>
    <t>三、国有企业资本金注入</t>
  </si>
  <si>
    <t>四、清算收入</t>
  </si>
  <si>
    <t>四、国有企业政策性补贴</t>
  </si>
  <si>
    <t>五、其他国有资本经营收入</t>
  </si>
  <si>
    <t>五、其他国有资本经营预算支出</t>
  </si>
  <si>
    <t>本年收入合计</t>
  </si>
  <si>
    <t>本年支出合计</t>
  </si>
  <si>
    <t xml:space="preserve">  上年结转</t>
  </si>
  <si>
    <t xml:space="preserve">  国有资本经营预算调出资金</t>
  </si>
  <si>
    <t xml:space="preserve">  上级补助收入</t>
  </si>
  <si>
    <t xml:space="preserve">  结转下年</t>
  </si>
  <si>
    <t>2023年开发区·铁山区政府债务限额及余额情况表</t>
  </si>
  <si>
    <t>地区</t>
  </si>
  <si>
    <t>2022年政府债务限额</t>
  </si>
  <si>
    <t>2023年政府债务余额</t>
  </si>
  <si>
    <t>一般债务</t>
  </si>
  <si>
    <t>专项债务</t>
  </si>
  <si>
    <t>总    计</t>
  </si>
  <si>
    <t>市财政暂未下达我区2023年债务限额</t>
  </si>
  <si>
    <t>2023年开发区·铁山区政府债券资金明细表</t>
  </si>
  <si>
    <t>债券资金来源</t>
  </si>
  <si>
    <t>其中：1、再融资债券</t>
  </si>
  <si>
    <t>2、新增债券</t>
  </si>
  <si>
    <t>3、特殊再融资债券</t>
  </si>
  <si>
    <t>一般债券</t>
  </si>
  <si>
    <t>专项债券</t>
  </si>
  <si>
    <t>2023年开发区·铁山区债券资金项目安排情况表</t>
  </si>
  <si>
    <t>债券类型</t>
  </si>
  <si>
    <t>单   位</t>
  </si>
  <si>
    <t>债券资金额度</t>
  </si>
  <si>
    <t>备   注</t>
  </si>
  <si>
    <t>新增债券</t>
  </si>
  <si>
    <t>黄石经济技术开发区·铁山区教育局</t>
  </si>
  <si>
    <t>四棵中学改扩建</t>
  </si>
  <si>
    <t>2050203初中教育</t>
  </si>
  <si>
    <t>鹏程中学改扩建工程</t>
  </si>
  <si>
    <t>黄石经济技术开发区·铁山区农业农村局</t>
  </si>
  <si>
    <t>小型水库运行</t>
  </si>
  <si>
    <t>湖山小学新建</t>
  </si>
  <si>
    <t>2050202小学教育</t>
  </si>
  <si>
    <t>路平小学新建</t>
  </si>
  <si>
    <t>黄石市益民投资有限公司</t>
  </si>
  <si>
    <t>益民生活小区（汪仁片区二期棚改还建点）</t>
  </si>
  <si>
    <t>合        计</t>
  </si>
  <si>
    <t>特殊再融资债券</t>
  </si>
  <si>
    <t>黄石磁湖高新科技发展有限公司</t>
  </si>
  <si>
    <t>鹏程大道工程</t>
  </si>
  <si>
    <t>2120303小城镇基础设施建设</t>
  </si>
  <si>
    <t>欣益兴电子代付工程</t>
  </si>
  <si>
    <t>2120399其他城乡社区公共设施支出</t>
  </si>
  <si>
    <t>金山还建楼及配套工程</t>
  </si>
  <si>
    <t>2210199其他保障性安居工程支出</t>
  </si>
  <si>
    <t>四棵还建小区</t>
  </si>
  <si>
    <t>百花片区城市棚户区改造项目一期</t>
  </si>
  <si>
    <t>王圣大道工程</t>
  </si>
  <si>
    <t>月亮山路工程</t>
  </si>
  <si>
    <t>大广高速连接线工程</t>
  </si>
  <si>
    <t>金山大道市政工程</t>
  </si>
  <si>
    <t>金宇·倚湖园</t>
  </si>
  <si>
    <t>分单位支出明细-开发区</t>
  </si>
  <si>
    <t>单位编码</t>
  </si>
  <si>
    <t>年初预算</t>
  </si>
  <si>
    <t>执行率</t>
  </si>
  <si>
    <r>
      <rPr>
        <b/>
        <sz val="9"/>
        <color indexed="8"/>
        <rFont val="宋体"/>
        <charset val="0"/>
      </rPr>
      <t>　　</t>
    </r>
    <r>
      <rPr>
        <b/>
        <sz val="9"/>
        <color indexed="8"/>
        <rFont val="Calibri"/>
        <charset val="0"/>
      </rPr>
      <t>001001</t>
    </r>
  </si>
  <si>
    <r>
      <rPr>
        <b/>
        <sz val="9"/>
        <color indexed="8"/>
        <rFont val="宋体"/>
        <charset val="0"/>
      </rPr>
      <t>　　黄石经济技术开发区</t>
    </r>
    <r>
      <rPr>
        <b/>
        <sz val="9"/>
        <color indexed="8"/>
        <rFont val="Calibri"/>
        <charset val="0"/>
      </rPr>
      <t>·</t>
    </r>
    <r>
      <rPr>
        <b/>
        <sz val="9"/>
        <color indexed="8"/>
        <rFont val="宋体"/>
        <charset val="0"/>
      </rPr>
      <t>铁山区党政办公室本级</t>
    </r>
  </si>
  <si>
    <r>
      <rPr>
        <b/>
        <sz val="9"/>
        <color indexed="8"/>
        <rFont val="宋体"/>
        <charset val="0"/>
      </rPr>
      <t>　　</t>
    </r>
    <r>
      <rPr>
        <b/>
        <sz val="9"/>
        <color indexed="8"/>
        <rFont val="Calibri"/>
        <charset val="0"/>
      </rPr>
      <t>002001</t>
    </r>
  </si>
  <si>
    <r>
      <rPr>
        <b/>
        <sz val="9"/>
        <color indexed="8"/>
        <rFont val="宋体"/>
        <charset val="0"/>
      </rPr>
      <t>　　中共黄石经济技术开发区工委</t>
    </r>
    <r>
      <rPr>
        <b/>
        <sz val="9"/>
        <color indexed="8"/>
        <rFont val="Calibri"/>
        <charset val="0"/>
      </rPr>
      <t>·</t>
    </r>
    <r>
      <rPr>
        <b/>
        <sz val="9"/>
        <color indexed="8"/>
        <rFont val="宋体"/>
        <charset val="0"/>
      </rPr>
      <t>铁山区委组织部本级</t>
    </r>
  </si>
  <si>
    <r>
      <rPr>
        <b/>
        <sz val="9"/>
        <color indexed="8"/>
        <rFont val="宋体"/>
        <charset val="0"/>
      </rPr>
      <t>　　</t>
    </r>
    <r>
      <rPr>
        <b/>
        <sz val="9"/>
        <color indexed="8"/>
        <rFont val="Calibri"/>
        <charset val="0"/>
      </rPr>
      <t>003001</t>
    </r>
  </si>
  <si>
    <t>　　黄石市纪委监委派出黄石经济技术开发区纪检监察工作委员会本级</t>
  </si>
  <si>
    <r>
      <rPr>
        <b/>
        <sz val="9"/>
        <color indexed="8"/>
        <rFont val="宋体"/>
        <charset val="0"/>
      </rPr>
      <t>　　</t>
    </r>
    <r>
      <rPr>
        <b/>
        <sz val="9"/>
        <color indexed="8"/>
        <rFont val="Calibri"/>
        <charset val="0"/>
      </rPr>
      <t>004001</t>
    </r>
  </si>
  <si>
    <r>
      <rPr>
        <b/>
        <sz val="9"/>
        <color indexed="8"/>
        <rFont val="宋体"/>
        <charset val="0"/>
      </rPr>
      <t>　　中共黄石经济技术开发区工委</t>
    </r>
    <r>
      <rPr>
        <b/>
        <sz val="9"/>
        <color indexed="8"/>
        <rFont val="Calibri"/>
        <charset val="0"/>
      </rPr>
      <t>·</t>
    </r>
    <r>
      <rPr>
        <b/>
        <sz val="9"/>
        <color indexed="8"/>
        <rFont val="宋体"/>
        <charset val="0"/>
      </rPr>
      <t>铁山区委政法委员会本级</t>
    </r>
  </si>
  <si>
    <r>
      <rPr>
        <b/>
        <sz val="9"/>
        <color indexed="8"/>
        <rFont val="宋体"/>
        <charset val="0"/>
      </rPr>
      <t>　　</t>
    </r>
    <r>
      <rPr>
        <b/>
        <sz val="9"/>
        <color indexed="8"/>
        <rFont val="Calibri"/>
        <charset val="0"/>
      </rPr>
      <t>005001</t>
    </r>
  </si>
  <si>
    <t>　　黄石经济技术开发区人民武装部本级</t>
  </si>
  <si>
    <r>
      <rPr>
        <b/>
        <sz val="9"/>
        <color indexed="8"/>
        <rFont val="宋体"/>
        <charset val="0"/>
      </rPr>
      <t>　　</t>
    </r>
    <r>
      <rPr>
        <b/>
        <sz val="9"/>
        <color indexed="8"/>
        <rFont val="Calibri"/>
        <charset val="0"/>
      </rPr>
      <t>006001</t>
    </r>
  </si>
  <si>
    <r>
      <rPr>
        <b/>
        <sz val="9"/>
        <color indexed="8"/>
        <rFont val="宋体"/>
        <charset val="0"/>
      </rPr>
      <t>　　黄石经济技术开发区</t>
    </r>
    <r>
      <rPr>
        <b/>
        <sz val="9"/>
        <color indexed="8"/>
        <rFont val="Calibri"/>
        <charset val="0"/>
      </rPr>
      <t>·</t>
    </r>
    <r>
      <rPr>
        <b/>
        <sz val="9"/>
        <color indexed="8"/>
        <rFont val="宋体"/>
        <charset val="0"/>
      </rPr>
      <t>铁山区市场监督管理局本级</t>
    </r>
  </si>
  <si>
    <r>
      <rPr>
        <b/>
        <sz val="9"/>
        <color indexed="8"/>
        <rFont val="宋体"/>
        <charset val="0"/>
      </rPr>
      <t>　　</t>
    </r>
    <r>
      <rPr>
        <b/>
        <sz val="9"/>
        <color indexed="8"/>
        <rFont val="Calibri"/>
        <charset val="0"/>
      </rPr>
      <t>007001</t>
    </r>
  </si>
  <si>
    <t>　　黄石经济技术开发区财政局本级</t>
  </si>
  <si>
    <r>
      <rPr>
        <b/>
        <sz val="9"/>
        <color indexed="8"/>
        <rFont val="宋体"/>
        <charset val="0"/>
      </rPr>
      <t>　　</t>
    </r>
    <r>
      <rPr>
        <b/>
        <sz val="9"/>
        <color indexed="8"/>
        <rFont val="Calibri"/>
        <charset val="0"/>
      </rPr>
      <t>008001</t>
    </r>
  </si>
  <si>
    <r>
      <rPr>
        <b/>
        <sz val="9"/>
        <color indexed="8"/>
        <rFont val="宋体"/>
        <charset val="0"/>
      </rPr>
      <t>　　黄石经济技术开发区</t>
    </r>
    <r>
      <rPr>
        <b/>
        <sz val="9"/>
        <color indexed="8"/>
        <rFont val="Calibri"/>
        <charset val="0"/>
      </rPr>
      <t>·</t>
    </r>
    <r>
      <rPr>
        <b/>
        <sz val="9"/>
        <color indexed="8"/>
        <rFont val="宋体"/>
        <charset val="0"/>
      </rPr>
      <t>铁山区审计局本级</t>
    </r>
  </si>
  <si>
    <r>
      <rPr>
        <b/>
        <sz val="9"/>
        <color indexed="8"/>
        <rFont val="宋体"/>
        <charset val="0"/>
      </rPr>
      <t>　　</t>
    </r>
    <r>
      <rPr>
        <b/>
        <sz val="9"/>
        <color indexed="8"/>
        <rFont val="Calibri"/>
        <charset val="0"/>
      </rPr>
      <t>009001</t>
    </r>
  </si>
  <si>
    <r>
      <rPr>
        <b/>
        <sz val="9"/>
        <color indexed="8"/>
        <rFont val="宋体"/>
        <charset val="0"/>
      </rPr>
      <t>　　黄石经济技术开发区</t>
    </r>
    <r>
      <rPr>
        <b/>
        <sz val="9"/>
        <color indexed="8"/>
        <rFont val="Calibri"/>
        <charset val="0"/>
      </rPr>
      <t>·</t>
    </r>
    <r>
      <rPr>
        <b/>
        <sz val="9"/>
        <color indexed="8"/>
        <rFont val="宋体"/>
        <charset val="0"/>
      </rPr>
      <t>铁山区群团工作部本级</t>
    </r>
  </si>
  <si>
    <r>
      <rPr>
        <b/>
        <sz val="9"/>
        <color indexed="8"/>
        <rFont val="宋体"/>
        <charset val="0"/>
      </rPr>
      <t>　　</t>
    </r>
    <r>
      <rPr>
        <b/>
        <sz val="9"/>
        <color indexed="8"/>
        <rFont val="Calibri"/>
        <charset val="0"/>
      </rPr>
      <t>010001</t>
    </r>
  </si>
  <si>
    <r>
      <rPr>
        <b/>
        <sz val="9"/>
        <color indexed="8"/>
        <rFont val="宋体"/>
        <charset val="0"/>
      </rPr>
      <t>　　中共黄石经济技术开发区工委</t>
    </r>
    <r>
      <rPr>
        <b/>
        <sz val="9"/>
        <color indexed="8"/>
        <rFont val="Calibri"/>
        <charset val="0"/>
      </rPr>
      <t>·</t>
    </r>
    <r>
      <rPr>
        <b/>
        <sz val="9"/>
        <color indexed="8"/>
        <rFont val="宋体"/>
        <charset val="0"/>
      </rPr>
      <t>铁山区委宣传部本级</t>
    </r>
  </si>
  <si>
    <r>
      <rPr>
        <b/>
        <sz val="9"/>
        <color indexed="8"/>
        <rFont val="宋体"/>
        <charset val="0"/>
      </rPr>
      <t>　　</t>
    </r>
    <r>
      <rPr>
        <b/>
        <sz val="9"/>
        <color indexed="8"/>
        <rFont val="Calibri"/>
        <charset val="0"/>
      </rPr>
      <t>011001</t>
    </r>
  </si>
  <si>
    <r>
      <rPr>
        <b/>
        <sz val="9"/>
        <color indexed="8"/>
        <rFont val="宋体"/>
        <charset val="0"/>
      </rPr>
      <t>　　中共黄石经济技术开发区工委</t>
    </r>
    <r>
      <rPr>
        <b/>
        <sz val="9"/>
        <color indexed="8"/>
        <rFont val="Calibri"/>
        <charset val="0"/>
      </rPr>
      <t>·</t>
    </r>
    <r>
      <rPr>
        <b/>
        <sz val="9"/>
        <color indexed="8"/>
        <rFont val="宋体"/>
        <charset val="0"/>
      </rPr>
      <t>铁山区委统战部本级</t>
    </r>
  </si>
  <si>
    <r>
      <rPr>
        <b/>
        <sz val="9"/>
        <color indexed="8"/>
        <rFont val="宋体"/>
        <charset val="0"/>
      </rPr>
      <t>　　</t>
    </r>
    <r>
      <rPr>
        <b/>
        <sz val="9"/>
        <color indexed="8"/>
        <rFont val="Calibri"/>
        <charset val="0"/>
      </rPr>
      <t>012001</t>
    </r>
  </si>
  <si>
    <r>
      <rPr>
        <b/>
        <sz val="9"/>
        <color indexed="8"/>
        <rFont val="宋体"/>
        <charset val="0"/>
      </rPr>
      <t>　　黄石经济技术开发区</t>
    </r>
    <r>
      <rPr>
        <b/>
        <sz val="9"/>
        <color indexed="8"/>
        <rFont val="Calibri"/>
        <charset val="0"/>
      </rPr>
      <t>·</t>
    </r>
    <r>
      <rPr>
        <b/>
        <sz val="9"/>
        <color indexed="8"/>
        <rFont val="宋体"/>
        <charset val="0"/>
      </rPr>
      <t>铁山区政务服务和大数据管理局本级</t>
    </r>
  </si>
  <si>
    <r>
      <rPr>
        <b/>
        <sz val="9"/>
        <color indexed="8"/>
        <rFont val="宋体"/>
        <charset val="0"/>
      </rPr>
      <t>　　</t>
    </r>
    <r>
      <rPr>
        <b/>
        <sz val="9"/>
        <color indexed="8"/>
        <rFont val="Calibri"/>
        <charset val="0"/>
      </rPr>
      <t>013001</t>
    </r>
  </si>
  <si>
    <r>
      <rPr>
        <b/>
        <sz val="9"/>
        <color indexed="8"/>
        <rFont val="宋体"/>
        <charset val="0"/>
      </rPr>
      <t>　　黄石经济技术开发区</t>
    </r>
    <r>
      <rPr>
        <b/>
        <sz val="9"/>
        <color indexed="8"/>
        <rFont val="Calibri"/>
        <charset val="0"/>
      </rPr>
      <t>·</t>
    </r>
    <r>
      <rPr>
        <b/>
        <sz val="9"/>
        <color indexed="8"/>
        <rFont val="宋体"/>
        <charset val="0"/>
      </rPr>
      <t>铁山区民营企业发展促进中心</t>
    </r>
  </si>
  <si>
    <r>
      <rPr>
        <b/>
        <sz val="9"/>
        <color indexed="8"/>
        <rFont val="宋体"/>
        <charset val="0"/>
      </rPr>
      <t>　　</t>
    </r>
    <r>
      <rPr>
        <b/>
        <sz val="9"/>
        <color indexed="8"/>
        <rFont val="Calibri"/>
        <charset val="0"/>
      </rPr>
      <t>014001</t>
    </r>
  </si>
  <si>
    <r>
      <rPr>
        <b/>
        <sz val="9"/>
        <color indexed="8"/>
        <rFont val="宋体"/>
        <charset val="0"/>
      </rPr>
      <t>　　黄石经济技术开发区</t>
    </r>
    <r>
      <rPr>
        <b/>
        <sz val="9"/>
        <color indexed="8"/>
        <rFont val="Calibri"/>
        <charset val="0"/>
      </rPr>
      <t>·</t>
    </r>
    <r>
      <rPr>
        <b/>
        <sz val="9"/>
        <color indexed="8"/>
        <rFont val="宋体"/>
        <charset val="0"/>
      </rPr>
      <t>铁山区统计局本级</t>
    </r>
  </si>
  <si>
    <r>
      <rPr>
        <b/>
        <sz val="9"/>
        <color indexed="8"/>
        <rFont val="宋体"/>
        <charset val="0"/>
      </rPr>
      <t>　　</t>
    </r>
    <r>
      <rPr>
        <b/>
        <sz val="9"/>
        <color indexed="8"/>
        <rFont val="Calibri"/>
        <charset val="0"/>
      </rPr>
      <t>015001</t>
    </r>
  </si>
  <si>
    <r>
      <rPr>
        <b/>
        <sz val="9"/>
        <color indexed="8"/>
        <rFont val="宋体"/>
        <charset val="0"/>
      </rPr>
      <t>　　黄石经济技术开发区</t>
    </r>
    <r>
      <rPr>
        <b/>
        <sz val="9"/>
        <color indexed="8"/>
        <rFont val="Calibri"/>
        <charset val="0"/>
      </rPr>
      <t>·</t>
    </r>
    <r>
      <rPr>
        <b/>
        <sz val="9"/>
        <color indexed="8"/>
        <rFont val="宋体"/>
        <charset val="0"/>
      </rPr>
      <t>铁山区公共资源交易中心本级</t>
    </r>
  </si>
  <si>
    <r>
      <rPr>
        <b/>
        <sz val="9"/>
        <color indexed="8"/>
        <rFont val="宋体"/>
        <charset val="0"/>
      </rPr>
      <t>　　</t>
    </r>
    <r>
      <rPr>
        <b/>
        <sz val="9"/>
        <color indexed="8"/>
        <rFont val="Calibri"/>
        <charset val="0"/>
      </rPr>
      <t>016001</t>
    </r>
  </si>
  <si>
    <r>
      <rPr>
        <b/>
        <sz val="9"/>
        <color indexed="8"/>
        <rFont val="宋体"/>
        <charset val="0"/>
      </rPr>
      <t>　　黄石经济技术开发区</t>
    </r>
    <r>
      <rPr>
        <b/>
        <sz val="9"/>
        <color indexed="8"/>
        <rFont val="Calibri"/>
        <charset val="0"/>
      </rPr>
      <t>·</t>
    </r>
    <r>
      <rPr>
        <b/>
        <sz val="9"/>
        <color indexed="8"/>
        <rFont val="宋体"/>
        <charset val="0"/>
      </rPr>
      <t>铁山区司法局</t>
    </r>
  </si>
  <si>
    <r>
      <rPr>
        <b/>
        <sz val="9"/>
        <color indexed="8"/>
        <rFont val="宋体"/>
        <charset val="0"/>
      </rPr>
      <t>　　</t>
    </r>
    <r>
      <rPr>
        <b/>
        <sz val="9"/>
        <color indexed="8"/>
        <rFont val="Calibri"/>
        <charset val="0"/>
      </rPr>
      <t>101001</t>
    </r>
  </si>
  <si>
    <r>
      <rPr>
        <b/>
        <sz val="9"/>
        <color indexed="8"/>
        <rFont val="宋体"/>
        <charset val="0"/>
      </rPr>
      <t>　　黄石经济技术开发区</t>
    </r>
    <r>
      <rPr>
        <b/>
        <sz val="9"/>
        <color indexed="8"/>
        <rFont val="Calibri"/>
        <charset val="0"/>
      </rPr>
      <t>·</t>
    </r>
    <r>
      <rPr>
        <b/>
        <sz val="9"/>
        <color indexed="8"/>
        <rFont val="宋体"/>
        <charset val="0"/>
      </rPr>
      <t>铁山区农业农村局本级</t>
    </r>
  </si>
  <si>
    <r>
      <rPr>
        <b/>
        <sz val="9"/>
        <color indexed="8"/>
        <rFont val="宋体"/>
        <charset val="0"/>
      </rPr>
      <t>　　</t>
    </r>
    <r>
      <rPr>
        <b/>
        <sz val="9"/>
        <color indexed="8"/>
        <rFont val="Calibri"/>
        <charset val="0"/>
      </rPr>
      <t>201001</t>
    </r>
  </si>
  <si>
    <r>
      <rPr>
        <b/>
        <sz val="9"/>
        <color indexed="8"/>
        <rFont val="宋体"/>
        <charset val="0"/>
      </rPr>
      <t>　　黄石经济技术开发区</t>
    </r>
    <r>
      <rPr>
        <b/>
        <sz val="9"/>
        <color indexed="8"/>
        <rFont val="Calibri"/>
        <charset val="0"/>
      </rPr>
      <t>·</t>
    </r>
    <r>
      <rPr>
        <b/>
        <sz val="9"/>
        <color indexed="8"/>
        <rFont val="宋体"/>
        <charset val="0"/>
      </rPr>
      <t>铁山区人力资源和社会保障局本级</t>
    </r>
  </si>
  <si>
    <r>
      <rPr>
        <b/>
        <sz val="9"/>
        <color indexed="8"/>
        <rFont val="宋体"/>
        <charset val="0"/>
      </rPr>
      <t>　　</t>
    </r>
    <r>
      <rPr>
        <b/>
        <sz val="9"/>
        <color indexed="8"/>
        <rFont val="Calibri"/>
        <charset val="0"/>
      </rPr>
      <t>202001</t>
    </r>
  </si>
  <si>
    <r>
      <rPr>
        <b/>
        <sz val="9"/>
        <color indexed="8"/>
        <rFont val="宋体"/>
        <charset val="0"/>
      </rPr>
      <t>　　黄石经济技术开发区</t>
    </r>
    <r>
      <rPr>
        <b/>
        <sz val="9"/>
        <color indexed="8"/>
        <rFont val="Calibri"/>
        <charset val="0"/>
      </rPr>
      <t>·</t>
    </r>
    <r>
      <rPr>
        <b/>
        <sz val="9"/>
        <color indexed="8"/>
        <rFont val="宋体"/>
        <charset val="0"/>
      </rPr>
      <t>铁山区民政局本级</t>
    </r>
  </si>
  <si>
    <r>
      <rPr>
        <b/>
        <sz val="9"/>
        <color indexed="8"/>
        <rFont val="宋体"/>
        <charset val="0"/>
      </rPr>
      <t>　　</t>
    </r>
    <r>
      <rPr>
        <b/>
        <sz val="9"/>
        <color indexed="8"/>
        <rFont val="Calibri"/>
        <charset val="0"/>
      </rPr>
      <t>203001</t>
    </r>
  </si>
  <si>
    <r>
      <rPr>
        <b/>
        <sz val="9"/>
        <color indexed="8"/>
        <rFont val="宋体"/>
        <charset val="0"/>
      </rPr>
      <t>　　黄石经济技术开发区</t>
    </r>
    <r>
      <rPr>
        <b/>
        <sz val="9"/>
        <color indexed="8"/>
        <rFont val="Calibri"/>
        <charset val="0"/>
      </rPr>
      <t>·</t>
    </r>
    <r>
      <rPr>
        <b/>
        <sz val="9"/>
        <color indexed="8"/>
        <rFont val="宋体"/>
        <charset val="0"/>
      </rPr>
      <t>铁山区残疾人联合会本级</t>
    </r>
  </si>
  <si>
    <r>
      <rPr>
        <b/>
        <sz val="9"/>
        <color indexed="8"/>
        <rFont val="宋体"/>
        <charset val="0"/>
      </rPr>
      <t>　　</t>
    </r>
    <r>
      <rPr>
        <b/>
        <sz val="9"/>
        <color indexed="8"/>
        <rFont val="Calibri"/>
        <charset val="0"/>
      </rPr>
      <t>204001</t>
    </r>
  </si>
  <si>
    <r>
      <rPr>
        <b/>
        <sz val="9"/>
        <color indexed="8"/>
        <rFont val="宋体"/>
        <charset val="0"/>
      </rPr>
      <t>　　黄石经济技术开发区</t>
    </r>
    <r>
      <rPr>
        <b/>
        <sz val="9"/>
        <color indexed="8"/>
        <rFont val="Calibri"/>
        <charset val="0"/>
      </rPr>
      <t>·</t>
    </r>
    <r>
      <rPr>
        <b/>
        <sz val="9"/>
        <color indexed="8"/>
        <rFont val="宋体"/>
        <charset val="0"/>
      </rPr>
      <t>铁山区退役军人事务局本级</t>
    </r>
  </si>
  <si>
    <r>
      <rPr>
        <b/>
        <sz val="9"/>
        <color indexed="8"/>
        <rFont val="宋体"/>
        <charset val="0"/>
      </rPr>
      <t>　　</t>
    </r>
    <r>
      <rPr>
        <b/>
        <sz val="9"/>
        <color indexed="8"/>
        <rFont val="Calibri"/>
        <charset val="0"/>
      </rPr>
      <t>205001</t>
    </r>
  </si>
  <si>
    <r>
      <rPr>
        <b/>
        <sz val="9"/>
        <color indexed="8"/>
        <rFont val="宋体"/>
        <charset val="0"/>
      </rPr>
      <t>　　黄石经济技术开发区</t>
    </r>
    <r>
      <rPr>
        <b/>
        <sz val="9"/>
        <color indexed="8"/>
        <rFont val="Calibri"/>
        <charset val="0"/>
      </rPr>
      <t>·</t>
    </r>
    <r>
      <rPr>
        <b/>
        <sz val="9"/>
        <color indexed="8"/>
        <rFont val="宋体"/>
        <charset val="0"/>
      </rPr>
      <t>铁山区卫生健康局本级</t>
    </r>
  </si>
  <si>
    <r>
      <rPr>
        <b/>
        <sz val="9"/>
        <color indexed="8"/>
        <rFont val="宋体"/>
        <charset val="0"/>
      </rPr>
      <t>　　</t>
    </r>
    <r>
      <rPr>
        <b/>
        <sz val="9"/>
        <color indexed="8"/>
        <rFont val="Calibri"/>
        <charset val="0"/>
      </rPr>
      <t>205002</t>
    </r>
  </si>
  <si>
    <t>　　大冶市汪仁中心卫生院</t>
  </si>
  <si>
    <r>
      <rPr>
        <b/>
        <sz val="9"/>
        <color indexed="8"/>
        <rFont val="宋体"/>
        <charset val="0"/>
      </rPr>
      <t>　　</t>
    </r>
    <r>
      <rPr>
        <b/>
        <sz val="9"/>
        <color indexed="8"/>
        <rFont val="Calibri"/>
        <charset val="0"/>
      </rPr>
      <t>205003</t>
    </r>
  </si>
  <si>
    <t>　　大冶市四棵卫生院</t>
  </si>
  <si>
    <r>
      <rPr>
        <b/>
        <sz val="9"/>
        <color indexed="8"/>
        <rFont val="宋体"/>
        <charset val="0"/>
      </rPr>
      <t>　　</t>
    </r>
    <r>
      <rPr>
        <b/>
        <sz val="9"/>
        <color indexed="8"/>
        <rFont val="Calibri"/>
        <charset val="0"/>
      </rPr>
      <t>205004</t>
    </r>
  </si>
  <si>
    <t>　　阳新县大王镇卫生院</t>
  </si>
  <si>
    <r>
      <rPr>
        <b/>
        <sz val="9"/>
        <color indexed="8"/>
        <rFont val="宋体"/>
        <charset val="0"/>
      </rPr>
      <t>　　</t>
    </r>
    <r>
      <rPr>
        <b/>
        <sz val="9"/>
        <color indexed="8"/>
        <rFont val="Calibri"/>
        <charset val="0"/>
      </rPr>
      <t>205005</t>
    </r>
  </si>
  <si>
    <t>　　阳新县太子镇卫生院</t>
  </si>
  <si>
    <r>
      <rPr>
        <b/>
        <sz val="9"/>
        <color indexed="8"/>
        <rFont val="宋体"/>
        <charset val="0"/>
      </rPr>
      <t>　　</t>
    </r>
    <r>
      <rPr>
        <b/>
        <sz val="9"/>
        <color indexed="8"/>
        <rFont val="Calibri"/>
        <charset val="0"/>
      </rPr>
      <t>206001</t>
    </r>
  </si>
  <si>
    <r>
      <rPr>
        <b/>
        <sz val="9"/>
        <color indexed="8"/>
        <rFont val="宋体"/>
        <charset val="0"/>
      </rPr>
      <t>　　黄石经济技术开发区</t>
    </r>
    <r>
      <rPr>
        <b/>
        <sz val="9"/>
        <color indexed="8"/>
        <rFont val="Calibri"/>
        <charset val="0"/>
      </rPr>
      <t>·</t>
    </r>
    <r>
      <rPr>
        <b/>
        <sz val="9"/>
        <color indexed="8"/>
        <rFont val="宋体"/>
        <charset val="0"/>
      </rPr>
      <t>铁山区医疗保障局本级</t>
    </r>
  </si>
  <si>
    <r>
      <rPr>
        <b/>
        <sz val="9"/>
        <color indexed="8"/>
        <rFont val="宋体"/>
        <charset val="0"/>
      </rPr>
      <t>　　</t>
    </r>
    <r>
      <rPr>
        <b/>
        <sz val="9"/>
        <color indexed="8"/>
        <rFont val="Calibri"/>
        <charset val="0"/>
      </rPr>
      <t>301001</t>
    </r>
  </si>
  <si>
    <r>
      <rPr>
        <b/>
        <sz val="9"/>
        <color indexed="8"/>
        <rFont val="宋体"/>
        <charset val="0"/>
      </rPr>
      <t>　　黄石经济技术开发区</t>
    </r>
    <r>
      <rPr>
        <b/>
        <sz val="9"/>
        <color indexed="8"/>
        <rFont val="Calibri"/>
        <charset val="0"/>
      </rPr>
      <t>·</t>
    </r>
    <r>
      <rPr>
        <b/>
        <sz val="9"/>
        <color indexed="8"/>
        <rFont val="宋体"/>
        <charset val="0"/>
      </rPr>
      <t>铁山区教育局本级</t>
    </r>
  </si>
  <si>
    <r>
      <rPr>
        <b/>
        <sz val="9"/>
        <color indexed="8"/>
        <rFont val="宋体"/>
        <charset val="0"/>
      </rPr>
      <t>　　</t>
    </r>
    <r>
      <rPr>
        <b/>
        <sz val="9"/>
        <color indexed="8"/>
        <rFont val="Calibri"/>
        <charset val="0"/>
      </rPr>
      <t>301002</t>
    </r>
  </si>
  <si>
    <t>　　大冶市东岳路街道办事处四棵初级中学</t>
  </si>
  <si>
    <r>
      <rPr>
        <b/>
        <sz val="9"/>
        <color indexed="8"/>
        <rFont val="宋体"/>
        <charset val="0"/>
      </rPr>
      <t>　　</t>
    </r>
    <r>
      <rPr>
        <b/>
        <sz val="9"/>
        <color indexed="8"/>
        <rFont val="Calibri"/>
        <charset val="0"/>
      </rPr>
      <t>301003</t>
    </r>
  </si>
  <si>
    <t>　　大冶市东岳路街道办事处鹏程初级中学</t>
  </si>
  <si>
    <r>
      <rPr>
        <b/>
        <sz val="9"/>
        <color indexed="8"/>
        <rFont val="宋体"/>
        <charset val="0"/>
      </rPr>
      <t>　　</t>
    </r>
    <r>
      <rPr>
        <b/>
        <sz val="9"/>
        <color indexed="8"/>
        <rFont val="Calibri"/>
        <charset val="0"/>
      </rPr>
      <t>301004</t>
    </r>
  </si>
  <si>
    <t>　　大冶市汪仁镇初级中学</t>
  </si>
  <si>
    <r>
      <rPr>
        <b/>
        <sz val="9"/>
        <color indexed="8"/>
        <rFont val="宋体"/>
        <charset val="0"/>
      </rPr>
      <t>　　</t>
    </r>
    <r>
      <rPr>
        <b/>
        <sz val="9"/>
        <color indexed="8"/>
        <rFont val="Calibri"/>
        <charset val="0"/>
      </rPr>
      <t>301005</t>
    </r>
  </si>
  <si>
    <t>　　黄石市河口中学</t>
  </si>
  <si>
    <r>
      <rPr>
        <b/>
        <sz val="9"/>
        <color indexed="8"/>
        <rFont val="宋体"/>
        <charset val="0"/>
      </rPr>
      <t>　　</t>
    </r>
    <r>
      <rPr>
        <b/>
        <sz val="9"/>
        <color indexed="8"/>
        <rFont val="Calibri"/>
        <charset val="0"/>
      </rPr>
      <t>301006</t>
    </r>
  </si>
  <si>
    <t>　　阳新县大王镇大王初级中学</t>
  </si>
  <si>
    <r>
      <rPr>
        <b/>
        <sz val="9"/>
        <color indexed="8"/>
        <rFont val="宋体"/>
        <charset val="0"/>
      </rPr>
      <t>　　</t>
    </r>
    <r>
      <rPr>
        <b/>
        <sz val="9"/>
        <color indexed="8"/>
        <rFont val="Calibri"/>
        <charset val="0"/>
      </rPr>
      <t>301007</t>
    </r>
  </si>
  <si>
    <t>　　阳新县大王镇中庄初级中学</t>
  </si>
  <si>
    <r>
      <rPr>
        <b/>
        <sz val="9"/>
        <color indexed="8"/>
        <rFont val="宋体"/>
        <charset val="0"/>
      </rPr>
      <t>　　</t>
    </r>
    <r>
      <rPr>
        <b/>
        <sz val="9"/>
        <color indexed="8"/>
        <rFont val="Calibri"/>
        <charset val="0"/>
      </rPr>
      <t>301008</t>
    </r>
  </si>
  <si>
    <t>　　阳新县太子中学</t>
  </si>
  <si>
    <r>
      <rPr>
        <b/>
        <sz val="9"/>
        <color indexed="8"/>
        <rFont val="宋体"/>
        <charset val="0"/>
      </rPr>
      <t>　　</t>
    </r>
    <r>
      <rPr>
        <b/>
        <sz val="9"/>
        <color indexed="8"/>
        <rFont val="Calibri"/>
        <charset val="0"/>
      </rPr>
      <t>301009</t>
    </r>
  </si>
  <si>
    <t>　　大冶市金山街道办事处中心学校</t>
  </si>
  <si>
    <r>
      <rPr>
        <b/>
        <sz val="9"/>
        <color indexed="8"/>
        <rFont val="宋体"/>
        <charset val="0"/>
      </rPr>
      <t>　　</t>
    </r>
    <r>
      <rPr>
        <b/>
        <sz val="9"/>
        <color indexed="8"/>
        <rFont val="Calibri"/>
        <charset val="0"/>
      </rPr>
      <t>301010</t>
    </r>
  </si>
  <si>
    <t>　　大冶市汪仁镇中心学校</t>
  </si>
  <si>
    <r>
      <rPr>
        <b/>
        <sz val="9"/>
        <color indexed="8"/>
        <rFont val="宋体"/>
        <charset val="0"/>
      </rPr>
      <t>　　</t>
    </r>
    <r>
      <rPr>
        <b/>
        <sz val="9"/>
        <color indexed="8"/>
        <rFont val="Calibri"/>
        <charset val="0"/>
      </rPr>
      <t>301011</t>
    </r>
  </si>
  <si>
    <t>　　阳新县太子镇中心学校</t>
  </si>
  <si>
    <r>
      <rPr>
        <b/>
        <sz val="9"/>
        <color indexed="8"/>
        <rFont val="宋体"/>
        <charset val="0"/>
      </rPr>
      <t>　　</t>
    </r>
    <r>
      <rPr>
        <b/>
        <sz val="9"/>
        <color indexed="8"/>
        <rFont val="Calibri"/>
        <charset val="0"/>
      </rPr>
      <t>301012</t>
    </r>
  </si>
  <si>
    <t>　　阳新县大王镇中心学校</t>
  </si>
  <si>
    <r>
      <rPr>
        <b/>
        <sz val="9"/>
        <color indexed="8"/>
        <rFont val="宋体"/>
        <charset val="0"/>
      </rPr>
      <t>　　</t>
    </r>
    <r>
      <rPr>
        <b/>
        <sz val="9"/>
        <color indexed="8"/>
        <rFont val="Calibri"/>
        <charset val="0"/>
      </rPr>
      <t>301013</t>
    </r>
  </si>
  <si>
    <t>　　黄石外国语学校</t>
  </si>
  <si>
    <r>
      <rPr>
        <b/>
        <sz val="9"/>
        <color indexed="8"/>
        <rFont val="宋体"/>
        <charset val="0"/>
      </rPr>
      <t>　　</t>
    </r>
    <r>
      <rPr>
        <b/>
        <sz val="9"/>
        <color indexed="8"/>
        <rFont val="Calibri"/>
        <charset val="0"/>
      </rPr>
      <t>302001</t>
    </r>
  </si>
  <si>
    <r>
      <rPr>
        <b/>
        <sz val="9"/>
        <color indexed="8"/>
        <rFont val="宋体"/>
        <charset val="0"/>
      </rPr>
      <t>　　黄石经济技术开发区</t>
    </r>
    <r>
      <rPr>
        <b/>
        <sz val="9"/>
        <color indexed="8"/>
        <rFont val="Calibri"/>
        <charset val="0"/>
      </rPr>
      <t>·</t>
    </r>
    <r>
      <rPr>
        <b/>
        <sz val="9"/>
        <color indexed="8"/>
        <rFont val="宋体"/>
        <charset val="0"/>
      </rPr>
      <t>铁山区文化和旅游局本级</t>
    </r>
  </si>
  <si>
    <r>
      <rPr>
        <b/>
        <sz val="9"/>
        <color indexed="8"/>
        <rFont val="宋体"/>
        <charset val="0"/>
      </rPr>
      <t>　　</t>
    </r>
    <r>
      <rPr>
        <b/>
        <sz val="9"/>
        <color indexed="8"/>
        <rFont val="Calibri"/>
        <charset val="0"/>
      </rPr>
      <t>303001</t>
    </r>
  </si>
  <si>
    <r>
      <rPr>
        <b/>
        <sz val="9"/>
        <color indexed="8"/>
        <rFont val="宋体"/>
        <charset val="0"/>
      </rPr>
      <t>　　黄石经济技术开发区</t>
    </r>
    <r>
      <rPr>
        <b/>
        <sz val="9"/>
        <color indexed="8"/>
        <rFont val="Calibri"/>
        <charset val="0"/>
      </rPr>
      <t>·</t>
    </r>
    <r>
      <rPr>
        <b/>
        <sz val="9"/>
        <color indexed="8"/>
        <rFont val="宋体"/>
        <charset val="0"/>
      </rPr>
      <t>铁山区科学技术局本级</t>
    </r>
  </si>
  <si>
    <r>
      <rPr>
        <b/>
        <sz val="9"/>
        <color indexed="8"/>
        <rFont val="宋体"/>
        <charset val="0"/>
      </rPr>
      <t>　　</t>
    </r>
    <r>
      <rPr>
        <b/>
        <sz val="9"/>
        <color indexed="8"/>
        <rFont val="Calibri"/>
        <charset val="0"/>
      </rPr>
      <t>304001</t>
    </r>
  </si>
  <si>
    <t>　　黄石高新技术创业服务中心本级</t>
  </si>
  <si>
    <r>
      <rPr>
        <b/>
        <sz val="9"/>
        <color indexed="8"/>
        <rFont val="宋体"/>
        <charset val="0"/>
      </rPr>
      <t>　　</t>
    </r>
    <r>
      <rPr>
        <b/>
        <sz val="9"/>
        <color indexed="8"/>
        <rFont val="Calibri"/>
        <charset val="0"/>
      </rPr>
      <t>401001</t>
    </r>
  </si>
  <si>
    <r>
      <rPr>
        <b/>
        <sz val="9"/>
        <color indexed="8"/>
        <rFont val="宋体"/>
        <charset val="0"/>
      </rPr>
      <t>　　黄石经济技术开发区</t>
    </r>
    <r>
      <rPr>
        <b/>
        <sz val="9"/>
        <color indexed="8"/>
        <rFont val="Calibri"/>
        <charset val="0"/>
      </rPr>
      <t>·</t>
    </r>
    <r>
      <rPr>
        <b/>
        <sz val="9"/>
        <color indexed="8"/>
        <rFont val="宋体"/>
        <charset val="0"/>
      </rPr>
      <t>铁山区发展和改革局本级</t>
    </r>
  </si>
  <si>
    <r>
      <rPr>
        <b/>
        <sz val="9"/>
        <color indexed="8"/>
        <rFont val="宋体"/>
        <charset val="0"/>
      </rPr>
      <t>　　</t>
    </r>
    <r>
      <rPr>
        <b/>
        <sz val="9"/>
        <color indexed="8"/>
        <rFont val="Calibri"/>
        <charset val="0"/>
      </rPr>
      <t>402001</t>
    </r>
  </si>
  <si>
    <r>
      <rPr>
        <b/>
        <sz val="9"/>
        <color indexed="8"/>
        <rFont val="宋体"/>
        <charset val="0"/>
      </rPr>
      <t>　　黄石经济技术开发区</t>
    </r>
    <r>
      <rPr>
        <b/>
        <sz val="9"/>
        <color indexed="8"/>
        <rFont val="Calibri"/>
        <charset val="0"/>
      </rPr>
      <t>·</t>
    </r>
    <r>
      <rPr>
        <b/>
        <sz val="9"/>
        <color indexed="8"/>
        <rFont val="宋体"/>
        <charset val="0"/>
      </rPr>
      <t>铁山区招商和投资促进局本级</t>
    </r>
  </si>
  <si>
    <r>
      <rPr>
        <b/>
        <sz val="9"/>
        <color indexed="8"/>
        <rFont val="宋体"/>
        <charset val="0"/>
      </rPr>
      <t>　　</t>
    </r>
    <r>
      <rPr>
        <b/>
        <sz val="9"/>
        <color indexed="8"/>
        <rFont val="Calibri"/>
        <charset val="0"/>
      </rPr>
      <t>403001</t>
    </r>
  </si>
  <si>
    <r>
      <rPr>
        <b/>
        <sz val="9"/>
        <color indexed="8"/>
        <rFont val="宋体"/>
        <charset val="0"/>
      </rPr>
      <t>　　黄石经济技术开发区</t>
    </r>
    <r>
      <rPr>
        <b/>
        <sz val="9"/>
        <color indexed="8"/>
        <rFont val="Calibri"/>
        <charset val="0"/>
      </rPr>
      <t>·</t>
    </r>
    <r>
      <rPr>
        <b/>
        <sz val="9"/>
        <color indexed="8"/>
        <rFont val="宋体"/>
        <charset val="0"/>
      </rPr>
      <t>铁山区经济信息化和商务局</t>
    </r>
  </si>
  <si>
    <r>
      <rPr>
        <b/>
        <sz val="9"/>
        <color indexed="8"/>
        <rFont val="宋体"/>
        <charset val="0"/>
      </rPr>
      <t>　　</t>
    </r>
    <r>
      <rPr>
        <b/>
        <sz val="9"/>
        <color indexed="8"/>
        <rFont val="Calibri"/>
        <charset val="0"/>
      </rPr>
      <t>404001</t>
    </r>
  </si>
  <si>
    <r>
      <rPr>
        <b/>
        <sz val="9"/>
        <color indexed="8"/>
        <rFont val="宋体"/>
        <charset val="0"/>
      </rPr>
      <t>　　黄石经济技术开发区</t>
    </r>
    <r>
      <rPr>
        <b/>
        <sz val="9"/>
        <color indexed="8"/>
        <rFont val="Calibri"/>
        <charset val="0"/>
      </rPr>
      <t>·</t>
    </r>
    <r>
      <rPr>
        <b/>
        <sz val="9"/>
        <color indexed="8"/>
        <rFont val="宋体"/>
        <charset val="0"/>
      </rPr>
      <t>铁山区建设局本级</t>
    </r>
  </si>
  <si>
    <r>
      <rPr>
        <b/>
        <sz val="9"/>
        <color indexed="8"/>
        <rFont val="宋体"/>
        <charset val="0"/>
      </rPr>
      <t>　　</t>
    </r>
    <r>
      <rPr>
        <b/>
        <sz val="9"/>
        <color indexed="8"/>
        <rFont val="Calibri"/>
        <charset val="0"/>
      </rPr>
      <t>405001</t>
    </r>
  </si>
  <si>
    <r>
      <rPr>
        <b/>
        <sz val="9"/>
        <color indexed="8"/>
        <rFont val="宋体"/>
        <charset val="0"/>
      </rPr>
      <t>　　黄石经济技术开发区</t>
    </r>
    <r>
      <rPr>
        <b/>
        <sz val="9"/>
        <color indexed="8"/>
        <rFont val="Calibri"/>
        <charset val="0"/>
      </rPr>
      <t>·</t>
    </r>
    <r>
      <rPr>
        <b/>
        <sz val="9"/>
        <color indexed="8"/>
        <rFont val="宋体"/>
        <charset val="0"/>
      </rPr>
      <t>铁山区住房保障局本级</t>
    </r>
  </si>
  <si>
    <r>
      <rPr>
        <b/>
        <sz val="9"/>
        <color indexed="8"/>
        <rFont val="宋体"/>
        <charset val="0"/>
      </rPr>
      <t>　　</t>
    </r>
    <r>
      <rPr>
        <b/>
        <sz val="9"/>
        <color indexed="8"/>
        <rFont val="Calibri"/>
        <charset val="0"/>
      </rPr>
      <t>406001</t>
    </r>
  </si>
  <si>
    <r>
      <rPr>
        <b/>
        <sz val="9"/>
        <color indexed="8"/>
        <rFont val="宋体"/>
        <charset val="0"/>
      </rPr>
      <t>　　黄石经济技术开发区</t>
    </r>
    <r>
      <rPr>
        <b/>
        <sz val="9"/>
        <color indexed="8"/>
        <rFont val="Calibri"/>
        <charset val="0"/>
      </rPr>
      <t>·</t>
    </r>
    <r>
      <rPr>
        <b/>
        <sz val="9"/>
        <color indexed="8"/>
        <rFont val="宋体"/>
        <charset val="0"/>
      </rPr>
      <t>铁山区城市管理执法局本级</t>
    </r>
  </si>
  <si>
    <r>
      <rPr>
        <b/>
        <sz val="9"/>
        <color indexed="8"/>
        <rFont val="宋体"/>
        <charset val="0"/>
      </rPr>
      <t>　　</t>
    </r>
    <r>
      <rPr>
        <b/>
        <sz val="9"/>
        <color indexed="8"/>
        <rFont val="Calibri"/>
        <charset val="0"/>
      </rPr>
      <t>407001</t>
    </r>
  </si>
  <si>
    <r>
      <rPr>
        <b/>
        <sz val="9"/>
        <color indexed="8"/>
        <rFont val="宋体"/>
        <charset val="0"/>
      </rPr>
      <t>　　黄石经济技术开发区</t>
    </r>
    <r>
      <rPr>
        <b/>
        <sz val="9"/>
        <color indexed="8"/>
        <rFont val="Calibri"/>
        <charset val="0"/>
      </rPr>
      <t>·</t>
    </r>
    <r>
      <rPr>
        <b/>
        <sz val="9"/>
        <color indexed="8"/>
        <rFont val="宋体"/>
        <charset val="0"/>
      </rPr>
      <t>铁山区应急管理局本级</t>
    </r>
  </si>
  <si>
    <r>
      <rPr>
        <b/>
        <sz val="9"/>
        <color indexed="8"/>
        <rFont val="宋体"/>
        <charset val="0"/>
      </rPr>
      <t>　　</t>
    </r>
    <r>
      <rPr>
        <b/>
        <sz val="9"/>
        <color indexed="8"/>
        <rFont val="Calibri"/>
        <charset val="0"/>
      </rPr>
      <t>408001</t>
    </r>
  </si>
  <si>
    <r>
      <rPr>
        <b/>
        <sz val="9"/>
        <color indexed="8"/>
        <rFont val="宋体"/>
        <charset val="0"/>
      </rPr>
      <t>　　黄石市生态环境局开发区</t>
    </r>
    <r>
      <rPr>
        <b/>
        <sz val="9"/>
        <color indexed="8"/>
        <rFont val="Calibri"/>
        <charset val="0"/>
      </rPr>
      <t>·</t>
    </r>
    <r>
      <rPr>
        <b/>
        <sz val="9"/>
        <color indexed="8"/>
        <rFont val="宋体"/>
        <charset val="0"/>
      </rPr>
      <t>铁山区分局本级</t>
    </r>
  </si>
  <si>
    <r>
      <rPr>
        <b/>
        <sz val="9"/>
        <color indexed="8"/>
        <rFont val="宋体"/>
        <charset val="0"/>
      </rPr>
      <t>　　</t>
    </r>
    <r>
      <rPr>
        <b/>
        <sz val="9"/>
        <color indexed="8"/>
        <rFont val="Calibri"/>
        <charset val="0"/>
      </rPr>
      <t>409001</t>
    </r>
  </si>
  <si>
    <r>
      <rPr>
        <b/>
        <sz val="9"/>
        <color indexed="8"/>
        <rFont val="宋体"/>
        <charset val="0"/>
      </rPr>
      <t>　　黄石市自然资源和规划局开发区</t>
    </r>
    <r>
      <rPr>
        <b/>
        <sz val="9"/>
        <color indexed="8"/>
        <rFont val="Calibri"/>
        <charset val="0"/>
      </rPr>
      <t>·</t>
    </r>
    <r>
      <rPr>
        <b/>
        <sz val="9"/>
        <color indexed="8"/>
        <rFont val="宋体"/>
        <charset val="0"/>
      </rPr>
      <t>铁山区分局本级</t>
    </r>
  </si>
  <si>
    <r>
      <rPr>
        <b/>
        <sz val="9"/>
        <color indexed="8"/>
        <rFont val="宋体"/>
        <charset val="0"/>
      </rPr>
      <t>　　</t>
    </r>
    <r>
      <rPr>
        <b/>
        <sz val="9"/>
        <color indexed="8"/>
        <rFont val="Calibri"/>
        <charset val="0"/>
      </rPr>
      <t>410001</t>
    </r>
  </si>
  <si>
    <t>　　黄石经济技术开发区土地收购储备中心本级</t>
  </si>
  <si>
    <r>
      <rPr>
        <b/>
        <sz val="9"/>
        <color indexed="8"/>
        <rFont val="宋体"/>
        <charset val="0"/>
      </rPr>
      <t>　　</t>
    </r>
    <r>
      <rPr>
        <b/>
        <sz val="9"/>
        <color indexed="8"/>
        <rFont val="Calibri"/>
        <charset val="0"/>
      </rPr>
      <t>601001</t>
    </r>
  </si>
  <si>
    <t>　　大冶市汪仁镇人民政府本级</t>
  </si>
  <si>
    <r>
      <rPr>
        <b/>
        <sz val="9"/>
        <color indexed="8"/>
        <rFont val="宋体"/>
        <charset val="0"/>
      </rPr>
      <t>　　</t>
    </r>
    <r>
      <rPr>
        <b/>
        <sz val="9"/>
        <color indexed="8"/>
        <rFont val="Calibri"/>
        <charset val="0"/>
      </rPr>
      <t>601002</t>
    </r>
  </si>
  <si>
    <t>　　大冶市汪仁镇财政所</t>
  </si>
  <si>
    <r>
      <rPr>
        <b/>
        <sz val="9"/>
        <color indexed="8"/>
        <rFont val="宋体"/>
        <charset val="0"/>
      </rPr>
      <t>　　</t>
    </r>
    <r>
      <rPr>
        <b/>
        <sz val="9"/>
        <color indexed="8"/>
        <rFont val="Calibri"/>
        <charset val="0"/>
      </rPr>
      <t>602001</t>
    </r>
  </si>
  <si>
    <t>　　大冶市金山街道办事处本级</t>
  </si>
  <si>
    <r>
      <rPr>
        <b/>
        <sz val="9"/>
        <color indexed="8"/>
        <rFont val="宋体"/>
        <charset val="0"/>
      </rPr>
      <t>　　</t>
    </r>
    <r>
      <rPr>
        <b/>
        <sz val="9"/>
        <color indexed="8"/>
        <rFont val="Calibri"/>
        <charset val="0"/>
      </rPr>
      <t>603001</t>
    </r>
  </si>
  <si>
    <t>　　阳新县太子庙镇人民政府本级</t>
  </si>
  <si>
    <r>
      <rPr>
        <b/>
        <sz val="9"/>
        <color indexed="8"/>
        <rFont val="宋体"/>
        <charset val="0"/>
      </rPr>
      <t>　　</t>
    </r>
    <r>
      <rPr>
        <b/>
        <sz val="9"/>
        <color indexed="8"/>
        <rFont val="Calibri"/>
        <charset val="0"/>
      </rPr>
      <t>603002</t>
    </r>
  </si>
  <si>
    <t>　　阳新县太子镇财经所</t>
  </si>
  <si>
    <r>
      <rPr>
        <b/>
        <sz val="9"/>
        <color indexed="8"/>
        <rFont val="宋体"/>
        <charset val="0"/>
      </rPr>
      <t>　　</t>
    </r>
    <r>
      <rPr>
        <b/>
        <sz val="9"/>
        <color indexed="8"/>
        <rFont val="Calibri"/>
        <charset val="0"/>
      </rPr>
      <t>604001</t>
    </r>
  </si>
  <si>
    <t>　　阳新县大王殿镇人民政府本级</t>
  </si>
  <si>
    <r>
      <rPr>
        <b/>
        <sz val="9"/>
        <color indexed="8"/>
        <rFont val="宋体"/>
        <charset val="0"/>
      </rPr>
      <t>　　</t>
    </r>
    <r>
      <rPr>
        <b/>
        <sz val="9"/>
        <color indexed="8"/>
        <rFont val="Calibri"/>
        <charset val="0"/>
      </rPr>
      <t>604002</t>
    </r>
  </si>
  <si>
    <t>　　阳新县大王镇财政所</t>
  </si>
  <si>
    <r>
      <rPr>
        <b/>
        <sz val="9"/>
        <color indexed="8"/>
        <rFont val="宋体"/>
        <charset val="0"/>
      </rPr>
      <t>　　</t>
    </r>
    <r>
      <rPr>
        <b/>
        <sz val="9"/>
        <color indexed="8"/>
        <rFont val="Calibri"/>
        <charset val="0"/>
      </rPr>
      <t>605001</t>
    </r>
  </si>
  <si>
    <t>　　黄石经济技术开发区章山街道办事处本级</t>
  </si>
  <si>
    <r>
      <rPr>
        <b/>
        <sz val="9"/>
        <color indexed="8"/>
        <rFont val="宋体"/>
        <charset val="0"/>
      </rPr>
      <t>　　</t>
    </r>
    <r>
      <rPr>
        <b/>
        <sz val="9"/>
        <color indexed="8"/>
        <rFont val="Calibri"/>
        <charset val="0"/>
      </rPr>
      <t>698001</t>
    </r>
  </si>
  <si>
    <t>　　武装警察部队黄石市消防支队开发区大队</t>
  </si>
  <si>
    <r>
      <rPr>
        <b/>
        <sz val="9"/>
        <color indexed="8"/>
        <rFont val="宋体"/>
        <charset val="0"/>
      </rPr>
      <t>　　</t>
    </r>
    <r>
      <rPr>
        <b/>
        <sz val="9"/>
        <color indexed="8"/>
        <rFont val="Calibri"/>
        <charset val="0"/>
      </rPr>
      <t>698002</t>
    </r>
  </si>
  <si>
    <t>　　黄石磁湖高新科技发展有限公司</t>
  </si>
  <si>
    <r>
      <rPr>
        <b/>
        <sz val="9"/>
        <color indexed="8"/>
        <rFont val="宋体"/>
        <charset val="0"/>
      </rPr>
      <t>　　</t>
    </r>
    <r>
      <rPr>
        <b/>
        <sz val="9"/>
        <color indexed="8"/>
        <rFont val="Calibri"/>
        <charset val="0"/>
      </rPr>
      <t>698003</t>
    </r>
  </si>
  <si>
    <t>　　博华（黄石）水务投资有限公司</t>
  </si>
  <si>
    <t>　　农业科</t>
  </si>
  <si>
    <t>　　社保科</t>
  </si>
  <si>
    <t>　　经建科</t>
  </si>
  <si>
    <r>
      <rPr>
        <b/>
        <sz val="9"/>
        <color indexed="8"/>
        <rFont val="宋体"/>
        <charset val="0"/>
      </rPr>
      <t>　　</t>
    </r>
    <r>
      <rPr>
        <b/>
        <sz val="9"/>
        <color indexed="8"/>
        <rFont val="Calibri"/>
        <charset val="0"/>
      </rPr>
      <t>699007</t>
    </r>
  </si>
  <si>
    <t>　　预算科</t>
  </si>
  <si>
    <r>
      <rPr>
        <b/>
        <sz val="9"/>
        <color indexed="8"/>
        <rFont val="宋体"/>
        <charset val="0"/>
      </rPr>
      <t>　　</t>
    </r>
    <r>
      <rPr>
        <b/>
        <sz val="9"/>
        <color indexed="8"/>
        <rFont val="Calibri"/>
        <charset val="0"/>
      </rPr>
      <t>699009</t>
    </r>
  </si>
  <si>
    <t>　　债务科</t>
  </si>
  <si>
    <r>
      <rPr>
        <b/>
        <sz val="9"/>
        <color indexed="8"/>
        <rFont val="宋体"/>
        <charset val="0"/>
      </rPr>
      <t>　　</t>
    </r>
    <r>
      <rPr>
        <b/>
        <sz val="9"/>
        <color indexed="8"/>
        <rFont val="Calibri"/>
        <charset val="0"/>
      </rPr>
      <t>699010</t>
    </r>
  </si>
  <si>
    <t>　　金融科</t>
  </si>
  <si>
    <t>分单位支出明细-铁山区</t>
  </si>
  <si>
    <t>　　黄石市铁山区人民代表大会常务委员会办公室本级</t>
  </si>
  <si>
    <t>　　中国人民政治协商会议湖北省黄石市铁山区委员会本级</t>
  </si>
  <si>
    <t>　　铁山区人民政府铁山街道办事处本级</t>
  </si>
  <si>
    <r>
      <rPr>
        <b/>
        <sz val="9"/>
        <color indexed="8"/>
        <rFont val="宋体"/>
        <charset val="0"/>
      </rPr>
      <t>　　黄石经济技术开发区</t>
    </r>
    <r>
      <rPr>
        <b/>
        <sz val="9"/>
        <color indexed="8"/>
        <rFont val="Calibri"/>
        <charset val="0"/>
      </rPr>
      <t>·</t>
    </r>
    <r>
      <rPr>
        <b/>
        <sz val="9"/>
        <color indexed="8"/>
        <rFont val="宋体"/>
        <charset val="0"/>
      </rPr>
      <t>铁山区城市管理执法局铁山街道中队本级</t>
    </r>
  </si>
  <si>
    <t>　　湖北黄石工矿地综合开发试验区铁山园区建设管理办公室本级</t>
  </si>
  <si>
    <t>　　铁山区鹿獐山社区卫生服务中心</t>
  </si>
  <si>
    <t>　　黄石市铁山区第一中学</t>
  </si>
  <si>
    <t>　　黄石市钢山学校</t>
  </si>
  <si>
    <t>　　黄石市铁山小学</t>
  </si>
  <si>
    <t>　　黄石市铁山区第三小学</t>
  </si>
  <si>
    <t>　　中国人民解放军湖北省黄石军分区</t>
  </si>
  <si>
    <t>　　国库科（国库集中收付中心）</t>
  </si>
  <si>
    <t>人员类项目和公用经费预算资金来源表（基本支出）-开发区</t>
  </si>
  <si>
    <t>单位
编码</t>
  </si>
  <si>
    <t>功能科目编码</t>
  </si>
  <si>
    <t>科目名称</t>
  </si>
  <si>
    <t>基本支出项目明细</t>
  </si>
  <si>
    <t>转移支付</t>
  </si>
  <si>
    <t>指标文号</t>
  </si>
  <si>
    <t>财政拨款（补助）</t>
  </si>
  <si>
    <t>纳入一般公共预算管理的非税收入拨款</t>
  </si>
  <si>
    <r>
      <rPr>
        <b/>
        <sz val="10"/>
        <color indexed="8"/>
        <rFont val="宋体"/>
        <charset val="0"/>
      </rPr>
      <t>　　</t>
    </r>
    <r>
      <rPr>
        <b/>
        <sz val="10"/>
        <color indexed="8"/>
        <rFont val="Calibri"/>
        <charset val="0"/>
      </rPr>
      <t>001001</t>
    </r>
  </si>
  <si>
    <r>
      <rPr>
        <b/>
        <sz val="10"/>
        <color indexed="8"/>
        <rFont val="宋体"/>
        <charset val="0"/>
      </rPr>
      <t>　　黄石经济技术开发区</t>
    </r>
    <r>
      <rPr>
        <b/>
        <sz val="10"/>
        <color indexed="8"/>
        <rFont val="Calibri"/>
        <charset val="0"/>
      </rPr>
      <t>·</t>
    </r>
    <r>
      <rPr>
        <b/>
        <sz val="10"/>
        <color indexed="8"/>
        <rFont val="宋体"/>
        <charset val="0"/>
      </rPr>
      <t>铁山区党政办公室本级</t>
    </r>
  </si>
  <si>
    <r>
      <rPr>
        <sz val="10"/>
        <color indexed="8"/>
        <rFont val="宋体"/>
        <charset val="0"/>
      </rPr>
      <t>　　　</t>
    </r>
    <r>
      <rPr>
        <sz val="10"/>
        <color indexed="8"/>
        <rFont val="Calibri"/>
        <charset val="0"/>
      </rPr>
      <t>001001</t>
    </r>
  </si>
  <si>
    <r>
      <rPr>
        <sz val="10"/>
        <color indexed="8"/>
        <rFont val="宋体"/>
        <charset val="0"/>
      </rPr>
      <t>　　　黄石经济技术开发区</t>
    </r>
    <r>
      <rPr>
        <sz val="10"/>
        <color indexed="8"/>
        <rFont val="Calibri"/>
        <charset val="0"/>
      </rPr>
      <t>·</t>
    </r>
    <r>
      <rPr>
        <sz val="10"/>
        <color indexed="8"/>
        <rFont val="宋体"/>
        <charset val="0"/>
      </rPr>
      <t>铁山区党政办公室本级</t>
    </r>
  </si>
  <si>
    <t>2010301</t>
  </si>
  <si>
    <t>行政运行</t>
  </si>
  <si>
    <r>
      <rPr>
        <sz val="10"/>
        <color indexed="8"/>
        <rFont val="宋体"/>
        <charset val="0"/>
      </rPr>
      <t>黄石经济技术开发区</t>
    </r>
    <r>
      <rPr>
        <sz val="10"/>
        <color indexed="8"/>
        <rFont val="Calibri"/>
        <charset val="0"/>
      </rPr>
      <t>·</t>
    </r>
    <r>
      <rPr>
        <sz val="10"/>
        <color indexed="8"/>
        <rFont val="宋体"/>
        <charset val="0"/>
      </rPr>
      <t>铁山区党政办公室本级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</si>
  <si>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铁山区党政办公室本级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</si>
  <si>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铁山区党政办公室本级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</si>
  <si>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铁山区党政办公室本级</t>
    </r>
    <r>
      <rPr>
        <sz val="10"/>
        <color indexed="8"/>
        <rFont val="Calibri"/>
        <charset val="0"/>
      </rPr>
      <t>_</t>
    </r>
    <r>
      <rPr>
        <sz val="10"/>
        <color indexed="8"/>
        <rFont val="宋体"/>
        <charset val="0"/>
      </rPr>
      <t>公用经费</t>
    </r>
  </si>
  <si>
    <r>
      <rPr>
        <sz val="10"/>
        <color indexed="8"/>
        <rFont val="宋体"/>
        <charset val="0"/>
      </rPr>
      <t>黄石经济技术开发区</t>
    </r>
    <r>
      <rPr>
        <sz val="10"/>
        <color indexed="8"/>
        <rFont val="Calibri"/>
        <charset val="0"/>
      </rPr>
      <t>·</t>
    </r>
    <r>
      <rPr>
        <sz val="10"/>
        <color indexed="8"/>
        <rFont val="宋体"/>
        <charset val="0"/>
      </rPr>
      <t>铁山区党政办公室本级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</si>
  <si>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铁山区党政办公室本级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</si>
  <si>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铁山区党政办公室本级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</si>
  <si>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铁山区党政办公室本级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</si>
  <si>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铁山区党政办公室本级</t>
    </r>
    <r>
      <rPr>
        <sz val="10"/>
        <color indexed="8"/>
        <rFont val="Calibri"/>
        <charset val="0"/>
      </rPr>
      <t>_</t>
    </r>
    <r>
      <rPr>
        <sz val="10"/>
        <color indexed="8"/>
        <rFont val="宋体"/>
        <charset val="0"/>
      </rPr>
      <t>其他对个人和家庭的补助</t>
    </r>
  </si>
  <si>
    <r>
      <rPr>
        <b/>
        <sz val="10"/>
        <color indexed="8"/>
        <rFont val="宋体"/>
        <charset val="0"/>
      </rPr>
      <t>　　</t>
    </r>
    <r>
      <rPr>
        <b/>
        <sz val="10"/>
        <color indexed="8"/>
        <rFont val="Calibri"/>
        <charset val="0"/>
      </rPr>
      <t>002001</t>
    </r>
  </si>
  <si>
    <r>
      <rPr>
        <b/>
        <sz val="10"/>
        <color indexed="8"/>
        <rFont val="宋体"/>
        <charset val="0"/>
      </rPr>
      <t>　　中共黄石经济技术开发区工委</t>
    </r>
    <r>
      <rPr>
        <b/>
        <sz val="10"/>
        <color indexed="8"/>
        <rFont val="Calibri"/>
        <charset val="0"/>
      </rPr>
      <t>·</t>
    </r>
    <r>
      <rPr>
        <b/>
        <sz val="10"/>
        <color indexed="8"/>
        <rFont val="宋体"/>
        <charset val="0"/>
      </rPr>
      <t>铁山区委组织部本级</t>
    </r>
  </si>
  <si>
    <r>
      <rPr>
        <sz val="10"/>
        <color indexed="8"/>
        <rFont val="宋体"/>
        <charset val="0"/>
      </rPr>
      <t>　　　</t>
    </r>
    <r>
      <rPr>
        <sz val="10"/>
        <color indexed="8"/>
        <rFont val="Calibri"/>
        <charset val="0"/>
      </rPr>
      <t>002001</t>
    </r>
  </si>
  <si>
    <r>
      <rPr>
        <sz val="10"/>
        <color indexed="8"/>
        <rFont val="宋体"/>
        <charset val="0"/>
      </rPr>
      <t>　　　中共黄石经济技术开发区工委</t>
    </r>
    <r>
      <rPr>
        <sz val="10"/>
        <color indexed="8"/>
        <rFont val="Calibri"/>
        <charset val="0"/>
      </rPr>
      <t>·</t>
    </r>
    <r>
      <rPr>
        <sz val="10"/>
        <color indexed="8"/>
        <rFont val="宋体"/>
        <charset val="0"/>
      </rPr>
      <t>铁山区委组织部本级</t>
    </r>
  </si>
  <si>
    <t>2013201</t>
  </si>
  <si>
    <r>
      <rPr>
        <sz val="10"/>
        <color indexed="8"/>
        <rFont val="宋体"/>
        <charset val="0"/>
      </rPr>
      <t>中共黄石经济技术开发区工委</t>
    </r>
    <r>
      <rPr>
        <sz val="10"/>
        <color indexed="8"/>
        <rFont val="Calibri"/>
        <charset val="0"/>
      </rPr>
      <t>·</t>
    </r>
    <r>
      <rPr>
        <sz val="10"/>
        <color indexed="8"/>
        <rFont val="宋体"/>
        <charset val="0"/>
      </rPr>
      <t>铁山区委组织部本级</t>
    </r>
    <r>
      <rPr>
        <sz val="10"/>
        <color indexed="8"/>
        <rFont val="Calibri"/>
        <charset val="0"/>
      </rPr>
      <t>_</t>
    </r>
    <r>
      <rPr>
        <sz val="10"/>
        <color indexed="8"/>
        <rFont val="宋体"/>
        <charset val="0"/>
      </rPr>
      <t>离退休费</t>
    </r>
  </si>
  <si>
    <r>
      <rPr>
        <sz val="10"/>
        <color indexed="8"/>
        <rFont val="宋体"/>
        <charset val="0"/>
      </rPr>
      <t>中共黄石经济技术开发区工委</t>
    </r>
    <r>
      <rPr>
        <sz val="10"/>
        <color indexed="8"/>
        <rFont val="Calibri"/>
        <charset val="0"/>
      </rPr>
      <t>·</t>
    </r>
    <r>
      <rPr>
        <sz val="10"/>
        <color indexed="8"/>
        <rFont val="宋体"/>
        <charset val="0"/>
      </rPr>
      <t>铁山区委组织部本级</t>
    </r>
    <r>
      <rPr>
        <sz val="10"/>
        <color indexed="8"/>
        <rFont val="Calibri"/>
        <charset val="0"/>
      </rPr>
      <t>_</t>
    </r>
    <r>
      <rPr>
        <sz val="10"/>
        <color indexed="8"/>
        <rFont val="宋体"/>
        <charset val="0"/>
      </rPr>
      <t>社会保障缴费</t>
    </r>
  </si>
  <si>
    <r>
      <rPr>
        <sz val="10"/>
        <color indexed="8"/>
        <rFont val="宋体"/>
        <charset val="0"/>
      </rPr>
      <t>中共黄石经济技术开发区工委</t>
    </r>
    <r>
      <rPr>
        <sz val="10"/>
        <color indexed="8"/>
        <rFont val="Calibri"/>
        <charset val="0"/>
      </rPr>
      <t>·</t>
    </r>
    <r>
      <rPr>
        <sz val="10"/>
        <color indexed="8"/>
        <rFont val="宋体"/>
        <charset val="0"/>
      </rPr>
      <t>铁山区委组织部本级</t>
    </r>
    <r>
      <rPr>
        <sz val="10"/>
        <color indexed="8"/>
        <rFont val="Calibri"/>
        <charset val="0"/>
      </rPr>
      <t>_</t>
    </r>
    <r>
      <rPr>
        <sz val="10"/>
        <color indexed="8"/>
        <rFont val="宋体"/>
        <charset val="0"/>
      </rPr>
      <t>其他对个人和家庭的补助</t>
    </r>
  </si>
  <si>
    <r>
      <rPr>
        <sz val="10"/>
        <color indexed="8"/>
        <rFont val="宋体"/>
        <charset val="0"/>
      </rPr>
      <t>中共黄石经济技术开发区工委</t>
    </r>
    <r>
      <rPr>
        <sz val="10"/>
        <color indexed="8"/>
        <rFont val="Calibri"/>
        <charset val="0"/>
      </rPr>
      <t>·</t>
    </r>
    <r>
      <rPr>
        <sz val="10"/>
        <color indexed="8"/>
        <rFont val="宋体"/>
        <charset val="0"/>
      </rPr>
      <t>铁山区委组织部本级</t>
    </r>
    <r>
      <rPr>
        <sz val="10"/>
        <color indexed="8"/>
        <rFont val="Calibri"/>
        <charset val="0"/>
      </rPr>
      <t>_</t>
    </r>
    <r>
      <rPr>
        <sz val="10"/>
        <color indexed="8"/>
        <rFont val="宋体"/>
        <charset val="0"/>
      </rPr>
      <t>住房公积金</t>
    </r>
  </si>
  <si>
    <r>
      <rPr>
        <sz val="10"/>
        <color indexed="8"/>
        <rFont val="宋体"/>
        <charset val="0"/>
      </rPr>
      <t>中共黄石经济技术开发区工委</t>
    </r>
    <r>
      <rPr>
        <sz val="10"/>
        <color indexed="8"/>
        <rFont val="Calibri"/>
        <charset val="0"/>
      </rPr>
      <t>·</t>
    </r>
    <r>
      <rPr>
        <sz val="10"/>
        <color indexed="8"/>
        <rFont val="宋体"/>
        <charset val="0"/>
      </rPr>
      <t>铁山区委组织部本级</t>
    </r>
    <r>
      <rPr>
        <sz val="10"/>
        <color indexed="8"/>
        <rFont val="Calibri"/>
        <charset val="0"/>
      </rPr>
      <t>_</t>
    </r>
    <r>
      <rPr>
        <sz val="10"/>
        <color indexed="8"/>
        <rFont val="宋体"/>
        <charset val="0"/>
      </rPr>
      <t>职工福利费</t>
    </r>
  </si>
  <si>
    <r>
      <rPr>
        <sz val="10"/>
        <color indexed="8"/>
        <rFont val="宋体"/>
        <charset val="0"/>
      </rPr>
      <t>中共黄石经济技术开发区工委</t>
    </r>
    <r>
      <rPr>
        <sz val="10"/>
        <color indexed="8"/>
        <rFont val="Calibri"/>
        <charset val="0"/>
      </rPr>
      <t>·</t>
    </r>
    <r>
      <rPr>
        <sz val="10"/>
        <color indexed="8"/>
        <rFont val="宋体"/>
        <charset val="0"/>
      </rPr>
      <t>铁山区委组织部本级</t>
    </r>
    <r>
      <rPr>
        <sz val="10"/>
        <color indexed="8"/>
        <rFont val="Calibri"/>
        <charset val="0"/>
      </rPr>
      <t>_</t>
    </r>
    <r>
      <rPr>
        <sz val="10"/>
        <color indexed="8"/>
        <rFont val="宋体"/>
        <charset val="0"/>
      </rPr>
      <t>在职人员公用经费</t>
    </r>
  </si>
  <si>
    <r>
      <rPr>
        <sz val="10"/>
        <color indexed="8"/>
        <rFont val="宋体"/>
        <charset val="0"/>
      </rPr>
      <t>中共黄石经济技术开发区工委</t>
    </r>
    <r>
      <rPr>
        <sz val="10"/>
        <color indexed="8"/>
        <rFont val="Calibri"/>
        <charset val="0"/>
      </rPr>
      <t>·</t>
    </r>
    <r>
      <rPr>
        <sz val="10"/>
        <color indexed="8"/>
        <rFont val="宋体"/>
        <charset val="0"/>
      </rPr>
      <t>铁山区委组织部本级</t>
    </r>
    <r>
      <rPr>
        <sz val="10"/>
        <color indexed="8"/>
        <rFont val="Calibri"/>
        <charset val="0"/>
      </rPr>
      <t>_</t>
    </r>
    <r>
      <rPr>
        <sz val="10"/>
        <color indexed="8"/>
        <rFont val="宋体"/>
        <charset val="0"/>
      </rPr>
      <t>离退休人员公用经费</t>
    </r>
  </si>
  <si>
    <r>
      <rPr>
        <sz val="10"/>
        <color indexed="8"/>
        <rFont val="宋体"/>
        <charset val="0"/>
      </rPr>
      <t>中共黄石经济技术开发区工委</t>
    </r>
    <r>
      <rPr>
        <sz val="10"/>
        <color indexed="8"/>
        <rFont val="Calibri"/>
        <charset val="0"/>
      </rPr>
      <t>·</t>
    </r>
    <r>
      <rPr>
        <sz val="10"/>
        <color indexed="8"/>
        <rFont val="宋体"/>
        <charset val="0"/>
      </rPr>
      <t>铁山区委组织部本级</t>
    </r>
    <r>
      <rPr>
        <sz val="10"/>
        <color indexed="8"/>
        <rFont val="Calibri"/>
        <charset val="0"/>
      </rPr>
      <t>_</t>
    </r>
    <r>
      <rPr>
        <sz val="10"/>
        <color indexed="8"/>
        <rFont val="宋体"/>
        <charset val="0"/>
      </rPr>
      <t>工资福利支出</t>
    </r>
  </si>
  <si>
    <r>
      <rPr>
        <sz val="10"/>
        <color indexed="8"/>
        <rFont val="宋体"/>
        <charset val="0"/>
      </rPr>
      <t>中共黄石经济技术开发区工委</t>
    </r>
    <r>
      <rPr>
        <sz val="10"/>
        <color indexed="8"/>
        <rFont val="Calibri"/>
        <charset val="0"/>
      </rPr>
      <t>·</t>
    </r>
    <r>
      <rPr>
        <sz val="10"/>
        <color indexed="8"/>
        <rFont val="宋体"/>
        <charset val="0"/>
      </rPr>
      <t>铁山区委组织部本级</t>
    </r>
    <r>
      <rPr>
        <sz val="10"/>
        <color indexed="8"/>
        <rFont val="Calibri"/>
        <charset val="0"/>
      </rPr>
      <t>_</t>
    </r>
    <r>
      <rPr>
        <sz val="10"/>
        <color indexed="8"/>
        <rFont val="宋体"/>
        <charset val="0"/>
      </rPr>
      <t>交通费</t>
    </r>
  </si>
  <si>
    <r>
      <rPr>
        <b/>
        <sz val="10"/>
        <color indexed="8"/>
        <rFont val="宋体"/>
        <charset val="0"/>
      </rPr>
      <t>　　</t>
    </r>
    <r>
      <rPr>
        <b/>
        <sz val="10"/>
        <color indexed="8"/>
        <rFont val="Calibri"/>
        <charset val="0"/>
      </rPr>
      <t>003001</t>
    </r>
  </si>
  <si>
    <r>
      <rPr>
        <sz val="10"/>
        <color indexed="8"/>
        <rFont val="宋体"/>
        <charset val="0"/>
      </rPr>
      <t>　　　</t>
    </r>
    <r>
      <rPr>
        <sz val="10"/>
        <color indexed="8"/>
        <rFont val="Calibri"/>
        <charset val="0"/>
      </rPr>
      <t>003001</t>
    </r>
  </si>
  <si>
    <t>　　　黄石市纪委监委派出黄石经济技术开发区纪检监察工作委员会本级</t>
  </si>
  <si>
    <t>2011101</t>
  </si>
  <si>
    <r>
      <rPr>
        <sz val="10"/>
        <color indexed="8"/>
        <rFont val="宋体"/>
        <charset val="0"/>
      </rPr>
      <t>黄石市纪委监委派出黄石经济技术开发区纪检监察工作委员会本级</t>
    </r>
    <r>
      <rPr>
        <sz val="10"/>
        <color indexed="8"/>
        <rFont val="Calibri"/>
        <charset val="0"/>
      </rPr>
      <t>_</t>
    </r>
    <r>
      <rPr>
        <sz val="10"/>
        <color indexed="8"/>
        <rFont val="宋体"/>
        <charset val="0"/>
      </rPr>
      <t>社会保障缴费</t>
    </r>
  </si>
  <si>
    <r>
      <rPr>
        <sz val="10"/>
        <color indexed="8"/>
        <rFont val="宋体"/>
        <charset val="0"/>
      </rPr>
      <t>黄石市纪委监委派出黄石经济技术开发区纪检监察工作委员会本级</t>
    </r>
    <r>
      <rPr>
        <sz val="10"/>
        <color indexed="8"/>
        <rFont val="Calibri"/>
        <charset val="0"/>
      </rPr>
      <t>_</t>
    </r>
    <r>
      <rPr>
        <sz val="10"/>
        <color indexed="8"/>
        <rFont val="宋体"/>
        <charset val="0"/>
      </rPr>
      <t>离退休费</t>
    </r>
  </si>
  <si>
    <r>
      <rPr>
        <sz val="10"/>
        <color indexed="8"/>
        <rFont val="宋体"/>
        <charset val="0"/>
      </rPr>
      <t>黄石市纪委监委派出黄石经济技术开发区纪检监察工作委员会本级</t>
    </r>
    <r>
      <rPr>
        <sz val="10"/>
        <color indexed="8"/>
        <rFont val="Calibri"/>
        <charset val="0"/>
      </rPr>
      <t>_</t>
    </r>
    <r>
      <rPr>
        <sz val="10"/>
        <color indexed="8"/>
        <rFont val="宋体"/>
        <charset val="0"/>
      </rPr>
      <t>交通费</t>
    </r>
  </si>
  <si>
    <r>
      <rPr>
        <sz val="10"/>
        <color indexed="8"/>
        <rFont val="宋体"/>
        <charset val="0"/>
      </rPr>
      <t>黄石市纪委监委派出黄石经济技术开发区纪检监察工作委员会本级</t>
    </r>
    <r>
      <rPr>
        <sz val="10"/>
        <color indexed="8"/>
        <rFont val="Calibri"/>
        <charset val="0"/>
      </rPr>
      <t>_</t>
    </r>
    <r>
      <rPr>
        <sz val="10"/>
        <color indexed="8"/>
        <rFont val="宋体"/>
        <charset val="0"/>
      </rPr>
      <t>其他对个人和家庭的补助</t>
    </r>
  </si>
  <si>
    <r>
      <rPr>
        <sz val="10"/>
        <color indexed="8"/>
        <rFont val="宋体"/>
        <charset val="0"/>
      </rPr>
      <t>黄石市纪委监委派出黄石经济技术开发区纪检监察工作委员会本级</t>
    </r>
    <r>
      <rPr>
        <sz val="10"/>
        <color indexed="8"/>
        <rFont val="Calibri"/>
        <charset val="0"/>
      </rPr>
      <t>_</t>
    </r>
    <r>
      <rPr>
        <sz val="10"/>
        <color indexed="8"/>
        <rFont val="宋体"/>
        <charset val="0"/>
      </rPr>
      <t>住房公积金</t>
    </r>
  </si>
  <si>
    <r>
      <rPr>
        <sz val="10"/>
        <color indexed="8"/>
        <rFont val="宋体"/>
        <charset val="0"/>
      </rPr>
      <t>黄石市纪委监委派出黄石经济技术开发区纪检监察工作委员会本级</t>
    </r>
    <r>
      <rPr>
        <sz val="10"/>
        <color indexed="8"/>
        <rFont val="Calibri"/>
        <charset val="0"/>
      </rPr>
      <t>_</t>
    </r>
    <r>
      <rPr>
        <sz val="10"/>
        <color indexed="8"/>
        <rFont val="宋体"/>
        <charset val="0"/>
      </rPr>
      <t>职工福利费</t>
    </r>
  </si>
  <si>
    <r>
      <rPr>
        <sz val="10"/>
        <color indexed="8"/>
        <rFont val="宋体"/>
        <charset val="0"/>
      </rPr>
      <t>黄石市纪委监委派出黄石经济技术开发区纪检监察工作委员会本级</t>
    </r>
    <r>
      <rPr>
        <sz val="10"/>
        <color indexed="8"/>
        <rFont val="Calibri"/>
        <charset val="0"/>
      </rPr>
      <t>_</t>
    </r>
    <r>
      <rPr>
        <sz val="10"/>
        <color indexed="8"/>
        <rFont val="宋体"/>
        <charset val="0"/>
      </rPr>
      <t>工资福利支出</t>
    </r>
  </si>
  <si>
    <r>
      <rPr>
        <sz val="10"/>
        <color indexed="8"/>
        <rFont val="宋体"/>
        <charset val="0"/>
      </rPr>
      <t>黄石市纪委监委派出黄石经济技术开发区纪检监察工作委员会本级</t>
    </r>
    <r>
      <rPr>
        <sz val="10"/>
        <color indexed="8"/>
        <rFont val="Calibri"/>
        <charset val="0"/>
      </rPr>
      <t>_</t>
    </r>
    <r>
      <rPr>
        <sz val="10"/>
        <color indexed="8"/>
        <rFont val="宋体"/>
        <charset val="0"/>
      </rPr>
      <t>离退休人员公用经费</t>
    </r>
  </si>
  <si>
    <r>
      <rPr>
        <sz val="10"/>
        <color indexed="8"/>
        <rFont val="宋体"/>
        <charset val="0"/>
      </rPr>
      <t>黄石市纪委监委派出黄石经济技术开发区纪检监察工作委员会本级</t>
    </r>
    <r>
      <rPr>
        <sz val="10"/>
        <color indexed="8"/>
        <rFont val="Calibri"/>
        <charset val="0"/>
      </rPr>
      <t>_</t>
    </r>
    <r>
      <rPr>
        <sz val="10"/>
        <color indexed="8"/>
        <rFont val="宋体"/>
        <charset val="0"/>
      </rPr>
      <t>在职人员公用经费</t>
    </r>
  </si>
  <si>
    <r>
      <rPr>
        <b/>
        <sz val="10"/>
        <color indexed="8"/>
        <rFont val="宋体"/>
        <charset val="0"/>
      </rPr>
      <t>　　</t>
    </r>
    <r>
      <rPr>
        <b/>
        <sz val="10"/>
        <color indexed="8"/>
        <rFont val="Calibri"/>
        <charset val="0"/>
      </rPr>
      <t>004001</t>
    </r>
  </si>
  <si>
    <r>
      <rPr>
        <b/>
        <sz val="10"/>
        <color indexed="8"/>
        <rFont val="宋体"/>
        <charset val="0"/>
      </rPr>
      <t>　　中共黄石经济技术开发区工委</t>
    </r>
    <r>
      <rPr>
        <b/>
        <sz val="10"/>
        <color indexed="8"/>
        <rFont val="Calibri"/>
        <charset val="0"/>
      </rPr>
      <t>·</t>
    </r>
    <r>
      <rPr>
        <b/>
        <sz val="10"/>
        <color indexed="8"/>
        <rFont val="宋体"/>
        <charset val="0"/>
      </rPr>
      <t>铁山区委政法委员会本级</t>
    </r>
  </si>
  <si>
    <r>
      <rPr>
        <sz val="10"/>
        <color indexed="8"/>
        <rFont val="宋体"/>
        <charset val="0"/>
      </rPr>
      <t>　　　</t>
    </r>
    <r>
      <rPr>
        <sz val="10"/>
        <color indexed="8"/>
        <rFont val="Calibri"/>
        <charset val="0"/>
      </rPr>
      <t>004001</t>
    </r>
  </si>
  <si>
    <r>
      <rPr>
        <sz val="10"/>
        <color indexed="8"/>
        <rFont val="宋体"/>
        <charset val="0"/>
      </rPr>
      <t>　　　中共黄石经济技术开发区工委</t>
    </r>
    <r>
      <rPr>
        <sz val="10"/>
        <color indexed="8"/>
        <rFont val="Calibri"/>
        <charset val="0"/>
      </rPr>
      <t>·</t>
    </r>
    <r>
      <rPr>
        <sz val="10"/>
        <color indexed="8"/>
        <rFont val="宋体"/>
        <charset val="0"/>
      </rPr>
      <t>铁山区委政法委员会本级</t>
    </r>
  </si>
  <si>
    <t>2013601</t>
  </si>
  <si>
    <r>
      <rPr>
        <sz val="10"/>
        <color indexed="8"/>
        <rFont val="宋体"/>
        <charset val="0"/>
      </rPr>
      <t>中共黄石经济技术开发区工委</t>
    </r>
    <r>
      <rPr>
        <sz val="10"/>
        <color indexed="8"/>
        <rFont val="Calibri"/>
        <charset val="0"/>
      </rPr>
      <t>·</t>
    </r>
    <r>
      <rPr>
        <sz val="10"/>
        <color indexed="8"/>
        <rFont val="宋体"/>
        <charset val="0"/>
      </rPr>
      <t>铁山区委政法委员会本级</t>
    </r>
    <r>
      <rPr>
        <sz val="10"/>
        <color indexed="8"/>
        <rFont val="Calibri"/>
        <charset val="0"/>
      </rPr>
      <t>_</t>
    </r>
    <r>
      <rPr>
        <sz val="10"/>
        <color indexed="8"/>
        <rFont val="宋体"/>
        <charset val="0"/>
      </rPr>
      <t>住房公积金</t>
    </r>
  </si>
  <si>
    <r>
      <rPr>
        <sz val="10"/>
        <color indexed="8"/>
        <rFont val="宋体"/>
        <charset val="0"/>
      </rPr>
      <t>中共黄石经济技术开发区工委</t>
    </r>
    <r>
      <rPr>
        <sz val="10"/>
        <color indexed="8"/>
        <rFont val="Calibri"/>
        <charset val="0"/>
      </rPr>
      <t>·</t>
    </r>
    <r>
      <rPr>
        <sz val="10"/>
        <color indexed="8"/>
        <rFont val="宋体"/>
        <charset val="0"/>
      </rPr>
      <t>铁山区委政法委员会本级</t>
    </r>
    <r>
      <rPr>
        <sz val="10"/>
        <color indexed="8"/>
        <rFont val="Calibri"/>
        <charset val="0"/>
      </rPr>
      <t>_</t>
    </r>
    <r>
      <rPr>
        <sz val="10"/>
        <color indexed="8"/>
        <rFont val="宋体"/>
        <charset val="0"/>
      </rPr>
      <t>其他对个人和家庭的补助</t>
    </r>
  </si>
  <si>
    <r>
      <rPr>
        <sz val="10"/>
        <color indexed="8"/>
        <rFont val="宋体"/>
        <charset val="0"/>
      </rPr>
      <t>中共黄石经济技术开发区工委</t>
    </r>
    <r>
      <rPr>
        <sz val="10"/>
        <color indexed="8"/>
        <rFont val="Calibri"/>
        <charset val="0"/>
      </rPr>
      <t>·</t>
    </r>
    <r>
      <rPr>
        <sz val="10"/>
        <color indexed="8"/>
        <rFont val="宋体"/>
        <charset val="0"/>
      </rPr>
      <t>铁山区委政法委员会本级</t>
    </r>
    <r>
      <rPr>
        <sz val="10"/>
        <color indexed="8"/>
        <rFont val="Calibri"/>
        <charset val="0"/>
      </rPr>
      <t>_</t>
    </r>
    <r>
      <rPr>
        <sz val="10"/>
        <color indexed="8"/>
        <rFont val="宋体"/>
        <charset val="0"/>
      </rPr>
      <t>离退休人员公用经费</t>
    </r>
  </si>
  <si>
    <r>
      <rPr>
        <sz val="10"/>
        <color indexed="8"/>
        <rFont val="宋体"/>
        <charset val="0"/>
      </rPr>
      <t>中共黄石经济技术开发区工委</t>
    </r>
    <r>
      <rPr>
        <sz val="10"/>
        <color indexed="8"/>
        <rFont val="Calibri"/>
        <charset val="0"/>
      </rPr>
      <t>·</t>
    </r>
    <r>
      <rPr>
        <sz val="10"/>
        <color indexed="8"/>
        <rFont val="宋体"/>
        <charset val="0"/>
      </rPr>
      <t>铁山区委政法委员会本级</t>
    </r>
    <r>
      <rPr>
        <sz val="10"/>
        <color indexed="8"/>
        <rFont val="Calibri"/>
        <charset val="0"/>
      </rPr>
      <t>_</t>
    </r>
    <r>
      <rPr>
        <sz val="10"/>
        <color indexed="8"/>
        <rFont val="宋体"/>
        <charset val="0"/>
      </rPr>
      <t>在职人员公用经费</t>
    </r>
  </si>
  <si>
    <r>
      <rPr>
        <sz val="10"/>
        <color indexed="8"/>
        <rFont val="宋体"/>
        <charset val="0"/>
      </rPr>
      <t>中共黄石经济技术开发区工委</t>
    </r>
    <r>
      <rPr>
        <sz val="10"/>
        <color indexed="8"/>
        <rFont val="Calibri"/>
        <charset val="0"/>
      </rPr>
      <t>·</t>
    </r>
    <r>
      <rPr>
        <sz val="10"/>
        <color indexed="8"/>
        <rFont val="宋体"/>
        <charset val="0"/>
      </rPr>
      <t>铁山区委政法委员会本级</t>
    </r>
    <r>
      <rPr>
        <sz val="10"/>
        <color indexed="8"/>
        <rFont val="Calibri"/>
        <charset val="0"/>
      </rPr>
      <t>_</t>
    </r>
    <r>
      <rPr>
        <sz val="10"/>
        <color indexed="8"/>
        <rFont val="宋体"/>
        <charset val="0"/>
      </rPr>
      <t>交通费</t>
    </r>
  </si>
  <si>
    <r>
      <rPr>
        <sz val="10"/>
        <color indexed="8"/>
        <rFont val="宋体"/>
        <charset val="0"/>
      </rPr>
      <t>中共黄石经济技术开发区工委</t>
    </r>
    <r>
      <rPr>
        <sz val="10"/>
        <color indexed="8"/>
        <rFont val="Calibri"/>
        <charset val="0"/>
      </rPr>
      <t>·</t>
    </r>
    <r>
      <rPr>
        <sz val="10"/>
        <color indexed="8"/>
        <rFont val="宋体"/>
        <charset val="0"/>
      </rPr>
      <t>铁山区委政法委员会本级</t>
    </r>
    <r>
      <rPr>
        <sz val="10"/>
        <color indexed="8"/>
        <rFont val="Calibri"/>
        <charset val="0"/>
      </rPr>
      <t>_</t>
    </r>
    <r>
      <rPr>
        <sz val="10"/>
        <color indexed="8"/>
        <rFont val="宋体"/>
        <charset val="0"/>
      </rPr>
      <t>社会保障缴费</t>
    </r>
  </si>
  <si>
    <r>
      <rPr>
        <sz val="10"/>
        <color indexed="8"/>
        <rFont val="宋体"/>
        <charset val="0"/>
      </rPr>
      <t>中共黄石经济技术开发区工委</t>
    </r>
    <r>
      <rPr>
        <sz val="10"/>
        <color indexed="8"/>
        <rFont val="Calibri"/>
        <charset val="0"/>
      </rPr>
      <t>·</t>
    </r>
    <r>
      <rPr>
        <sz val="10"/>
        <color indexed="8"/>
        <rFont val="宋体"/>
        <charset val="0"/>
      </rPr>
      <t>铁山区委政法委员会本级</t>
    </r>
    <r>
      <rPr>
        <sz val="10"/>
        <color indexed="8"/>
        <rFont val="Calibri"/>
        <charset val="0"/>
      </rPr>
      <t>_</t>
    </r>
    <r>
      <rPr>
        <sz val="10"/>
        <color indexed="8"/>
        <rFont val="宋体"/>
        <charset val="0"/>
      </rPr>
      <t>工资福利支出</t>
    </r>
  </si>
  <si>
    <r>
      <rPr>
        <sz val="10"/>
        <color indexed="8"/>
        <rFont val="宋体"/>
        <charset val="0"/>
      </rPr>
      <t>中共黄石经济技术开发区工委</t>
    </r>
    <r>
      <rPr>
        <sz val="10"/>
        <color indexed="8"/>
        <rFont val="Calibri"/>
        <charset val="0"/>
      </rPr>
      <t>·</t>
    </r>
    <r>
      <rPr>
        <sz val="10"/>
        <color indexed="8"/>
        <rFont val="宋体"/>
        <charset val="0"/>
      </rPr>
      <t>铁山区委政法委员会本级</t>
    </r>
    <r>
      <rPr>
        <sz val="10"/>
        <color indexed="8"/>
        <rFont val="Calibri"/>
        <charset val="0"/>
      </rPr>
      <t>_</t>
    </r>
    <r>
      <rPr>
        <sz val="10"/>
        <color indexed="8"/>
        <rFont val="宋体"/>
        <charset val="0"/>
      </rPr>
      <t>离退休费</t>
    </r>
  </si>
  <si>
    <r>
      <rPr>
        <sz val="10"/>
        <color indexed="8"/>
        <rFont val="宋体"/>
        <charset val="0"/>
      </rPr>
      <t>中共黄石经济技术开发区工委</t>
    </r>
    <r>
      <rPr>
        <sz val="10"/>
        <color indexed="8"/>
        <rFont val="Calibri"/>
        <charset val="0"/>
      </rPr>
      <t>·</t>
    </r>
    <r>
      <rPr>
        <sz val="10"/>
        <color indexed="8"/>
        <rFont val="宋体"/>
        <charset val="0"/>
      </rPr>
      <t>铁山区委政法委员会本级</t>
    </r>
    <r>
      <rPr>
        <sz val="10"/>
        <color indexed="8"/>
        <rFont val="Calibri"/>
        <charset val="0"/>
      </rPr>
      <t>_</t>
    </r>
    <r>
      <rPr>
        <sz val="10"/>
        <color indexed="8"/>
        <rFont val="宋体"/>
        <charset val="0"/>
      </rPr>
      <t>职工福利费</t>
    </r>
  </si>
  <si>
    <r>
      <rPr>
        <b/>
        <sz val="10"/>
        <color indexed="8"/>
        <rFont val="宋体"/>
        <charset val="0"/>
      </rPr>
      <t>　　</t>
    </r>
    <r>
      <rPr>
        <b/>
        <sz val="10"/>
        <color indexed="8"/>
        <rFont val="Calibri"/>
        <charset val="0"/>
      </rPr>
      <t>005001</t>
    </r>
  </si>
  <si>
    <r>
      <rPr>
        <sz val="10"/>
        <color indexed="8"/>
        <rFont val="宋体"/>
        <charset val="0"/>
      </rPr>
      <t>　　　</t>
    </r>
    <r>
      <rPr>
        <sz val="10"/>
        <color indexed="8"/>
        <rFont val="Calibri"/>
        <charset val="0"/>
      </rPr>
      <t>005001</t>
    </r>
  </si>
  <si>
    <t>　　　黄石经济技术开发区人民武装部本级</t>
  </si>
  <si>
    <r>
      <rPr>
        <sz val="10"/>
        <color indexed="8"/>
        <rFont val="宋体"/>
        <charset val="0"/>
      </rPr>
      <t>黄石经济技术开发区人民武装部本级</t>
    </r>
    <r>
      <rPr>
        <sz val="10"/>
        <color indexed="8"/>
        <rFont val="Calibri"/>
        <charset val="0"/>
      </rPr>
      <t>_</t>
    </r>
    <r>
      <rPr>
        <sz val="10"/>
        <color indexed="8"/>
        <rFont val="宋体"/>
        <charset val="0"/>
      </rPr>
      <t>社会保障缴费</t>
    </r>
  </si>
  <si>
    <r>
      <rPr>
        <sz val="10"/>
        <color indexed="8"/>
        <rFont val="宋体"/>
        <charset val="0"/>
      </rPr>
      <t>黄石经济技术开发区人民武装部本级</t>
    </r>
    <r>
      <rPr>
        <sz val="10"/>
        <color indexed="8"/>
        <rFont val="Calibri"/>
        <charset val="0"/>
      </rPr>
      <t>_</t>
    </r>
    <r>
      <rPr>
        <sz val="10"/>
        <color indexed="8"/>
        <rFont val="宋体"/>
        <charset val="0"/>
      </rPr>
      <t>在职人员公用经费</t>
    </r>
  </si>
  <si>
    <r>
      <rPr>
        <sz val="10"/>
        <color indexed="8"/>
        <rFont val="宋体"/>
        <charset val="0"/>
      </rPr>
      <t>黄石经济技术开发区人民武装部本级</t>
    </r>
    <r>
      <rPr>
        <sz val="10"/>
        <color indexed="8"/>
        <rFont val="Calibri"/>
        <charset val="0"/>
      </rPr>
      <t>_</t>
    </r>
    <r>
      <rPr>
        <sz val="10"/>
        <color indexed="8"/>
        <rFont val="宋体"/>
        <charset val="0"/>
      </rPr>
      <t>工资福利支出</t>
    </r>
  </si>
  <si>
    <r>
      <rPr>
        <sz val="10"/>
        <color indexed="8"/>
        <rFont val="宋体"/>
        <charset val="0"/>
      </rPr>
      <t>黄石经济技术开发区人民武装部本级</t>
    </r>
    <r>
      <rPr>
        <sz val="10"/>
        <color indexed="8"/>
        <rFont val="Calibri"/>
        <charset val="0"/>
      </rPr>
      <t>_</t>
    </r>
    <r>
      <rPr>
        <sz val="10"/>
        <color indexed="8"/>
        <rFont val="宋体"/>
        <charset val="0"/>
      </rPr>
      <t>住房公积金</t>
    </r>
  </si>
  <si>
    <r>
      <rPr>
        <sz val="10"/>
        <color indexed="8"/>
        <rFont val="宋体"/>
        <charset val="0"/>
      </rPr>
      <t>黄石经济技术开发区人民武装部本级</t>
    </r>
    <r>
      <rPr>
        <sz val="10"/>
        <color indexed="8"/>
        <rFont val="Calibri"/>
        <charset val="0"/>
      </rPr>
      <t>_</t>
    </r>
    <r>
      <rPr>
        <sz val="10"/>
        <color indexed="8"/>
        <rFont val="宋体"/>
        <charset val="0"/>
      </rPr>
      <t>职工福利费</t>
    </r>
  </si>
  <si>
    <r>
      <rPr>
        <b/>
        <sz val="10"/>
        <color indexed="8"/>
        <rFont val="宋体"/>
        <charset val="0"/>
      </rPr>
      <t>　　</t>
    </r>
    <r>
      <rPr>
        <b/>
        <sz val="10"/>
        <color indexed="8"/>
        <rFont val="Calibri"/>
        <charset val="0"/>
      </rPr>
      <t>006001</t>
    </r>
  </si>
  <si>
    <r>
      <rPr>
        <b/>
        <sz val="10"/>
        <color indexed="8"/>
        <rFont val="宋体"/>
        <charset val="0"/>
      </rPr>
      <t>　　黄石经济技术开发区</t>
    </r>
    <r>
      <rPr>
        <b/>
        <sz val="10"/>
        <color indexed="8"/>
        <rFont val="Calibri"/>
        <charset val="0"/>
      </rPr>
      <t>·</t>
    </r>
    <r>
      <rPr>
        <b/>
        <sz val="10"/>
        <color indexed="8"/>
        <rFont val="宋体"/>
        <charset val="0"/>
      </rPr>
      <t>铁山区市场监督管理局本级</t>
    </r>
  </si>
  <si>
    <r>
      <rPr>
        <sz val="10"/>
        <color indexed="8"/>
        <rFont val="宋体"/>
        <charset val="0"/>
      </rPr>
      <t>　　　</t>
    </r>
    <r>
      <rPr>
        <sz val="10"/>
        <color indexed="8"/>
        <rFont val="Calibri"/>
        <charset val="0"/>
      </rPr>
      <t>006001</t>
    </r>
  </si>
  <si>
    <r>
      <rPr>
        <sz val="10"/>
        <color indexed="8"/>
        <rFont val="宋体"/>
        <charset val="0"/>
      </rPr>
      <t>　　　黄石经济技术开发区</t>
    </r>
    <r>
      <rPr>
        <sz val="10"/>
        <color indexed="8"/>
        <rFont val="Calibri"/>
        <charset val="0"/>
      </rPr>
      <t>·</t>
    </r>
    <r>
      <rPr>
        <sz val="10"/>
        <color indexed="8"/>
        <rFont val="宋体"/>
        <charset val="0"/>
      </rPr>
      <t>铁山区市场监督管理局本级</t>
    </r>
  </si>
  <si>
    <t>2013801</t>
  </si>
  <si>
    <r>
      <rPr>
        <sz val="10"/>
        <color indexed="8"/>
        <rFont val="宋体"/>
        <charset val="0"/>
      </rPr>
      <t>黄石经济技术开发区</t>
    </r>
    <r>
      <rPr>
        <sz val="10"/>
        <color indexed="8"/>
        <rFont val="Calibri"/>
        <charset val="0"/>
      </rPr>
      <t>·</t>
    </r>
    <r>
      <rPr>
        <sz val="10"/>
        <color indexed="8"/>
        <rFont val="宋体"/>
        <charset val="0"/>
      </rPr>
      <t>铁山区市场监督管理局本级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</si>
  <si>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铁山区市场监督管理局本级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</si>
  <si>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铁山区市场监督管理局本级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</si>
  <si>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铁山区市场监督管理局本级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</si>
  <si>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铁山区市场监督管理局本级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</si>
  <si>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铁山区市场监督管理局本级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</si>
  <si>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铁山区市场监督管理局本级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</si>
  <si>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铁山区市场监督管理局本级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</si>
  <si>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铁山区市场监督管理局本级</t>
    </r>
    <r>
      <rPr>
        <sz val="10"/>
        <color indexed="8"/>
        <rFont val="Calibri"/>
        <charset val="0"/>
      </rPr>
      <t>_</t>
    </r>
    <r>
      <rPr>
        <sz val="10"/>
        <color indexed="8"/>
        <rFont val="宋体"/>
        <charset val="0"/>
      </rPr>
      <t>离退休费</t>
    </r>
  </si>
  <si>
    <r>
      <rPr>
        <b/>
        <sz val="10"/>
        <color indexed="8"/>
        <rFont val="宋体"/>
        <charset val="0"/>
      </rPr>
      <t>　　</t>
    </r>
    <r>
      <rPr>
        <b/>
        <sz val="10"/>
        <color indexed="8"/>
        <rFont val="Calibri"/>
        <charset val="0"/>
      </rPr>
      <t>007001</t>
    </r>
  </si>
  <si>
    <r>
      <rPr>
        <sz val="10"/>
        <color indexed="8"/>
        <rFont val="宋体"/>
        <charset val="0"/>
      </rPr>
      <t>　　　</t>
    </r>
    <r>
      <rPr>
        <sz val="10"/>
        <color indexed="8"/>
        <rFont val="Calibri"/>
        <charset val="0"/>
      </rPr>
      <t>007001</t>
    </r>
  </si>
  <si>
    <t>　　　黄石经济技术开发区财政局本级</t>
  </si>
  <si>
    <t>2010601</t>
  </si>
  <si>
    <r>
      <rPr>
        <sz val="10"/>
        <color indexed="8"/>
        <rFont val="宋体"/>
        <charset val="0"/>
      </rPr>
      <t>黄石经济技术开发区财政局本级</t>
    </r>
    <r>
      <rPr>
        <sz val="10"/>
        <color indexed="8"/>
        <rFont val="Calibri"/>
        <charset val="0"/>
      </rPr>
      <t>_</t>
    </r>
    <r>
      <rPr>
        <sz val="10"/>
        <color indexed="8"/>
        <rFont val="宋体"/>
        <charset val="0"/>
      </rPr>
      <t>职工福利费</t>
    </r>
  </si>
  <si>
    <r>
      <rPr>
        <sz val="10"/>
        <color indexed="8"/>
        <rFont val="宋体"/>
        <charset val="0"/>
      </rPr>
      <t>黄石经济技术开发区财政局本级</t>
    </r>
    <r>
      <rPr>
        <sz val="10"/>
        <color indexed="8"/>
        <rFont val="Calibri"/>
        <charset val="0"/>
      </rPr>
      <t>_</t>
    </r>
    <r>
      <rPr>
        <sz val="10"/>
        <color indexed="8"/>
        <rFont val="宋体"/>
        <charset val="0"/>
      </rPr>
      <t>在职人员公用经费</t>
    </r>
  </si>
  <si>
    <r>
      <rPr>
        <sz val="10"/>
        <color indexed="8"/>
        <rFont val="宋体"/>
        <charset val="0"/>
      </rPr>
      <t>黄石经济技术开发区财政局本级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</si>
  <si>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黄石经济技术开发区财政局本级</t>
    </r>
    <r>
      <rPr>
        <sz val="10"/>
        <color indexed="8"/>
        <rFont val="Calibri"/>
        <charset val="0"/>
      </rPr>
      <t>_</t>
    </r>
    <r>
      <rPr>
        <sz val="10"/>
        <color indexed="8"/>
        <rFont val="宋体"/>
        <charset val="0"/>
      </rPr>
      <t>离退休费</t>
    </r>
  </si>
  <si>
    <r>
      <rPr>
        <sz val="10"/>
        <color indexed="8"/>
        <rFont val="宋体"/>
        <charset val="0"/>
      </rPr>
      <t>黄石经济技术开发区财政局本级</t>
    </r>
    <r>
      <rPr>
        <sz val="10"/>
        <color indexed="8"/>
        <rFont val="Calibri"/>
        <charset val="0"/>
      </rPr>
      <t>_</t>
    </r>
    <r>
      <rPr>
        <sz val="10"/>
        <color indexed="8"/>
        <rFont val="宋体"/>
        <charset val="0"/>
      </rPr>
      <t>交通费</t>
    </r>
  </si>
  <si>
    <r>
      <rPr>
        <sz val="10"/>
        <color indexed="8"/>
        <rFont val="宋体"/>
        <charset val="0"/>
      </rPr>
      <t>黄石经济技术开发区财政局本级</t>
    </r>
    <r>
      <rPr>
        <sz val="10"/>
        <color indexed="8"/>
        <rFont val="Calibri"/>
        <charset val="0"/>
      </rPr>
      <t>_</t>
    </r>
    <r>
      <rPr>
        <sz val="10"/>
        <color indexed="8"/>
        <rFont val="宋体"/>
        <charset val="0"/>
      </rPr>
      <t>工资福利支出</t>
    </r>
  </si>
  <si>
    <r>
      <rPr>
        <sz val="10"/>
        <color indexed="8"/>
        <rFont val="宋体"/>
        <charset val="0"/>
      </rPr>
      <t>黄石经济技术开发区财政局本级</t>
    </r>
    <r>
      <rPr>
        <sz val="10"/>
        <color indexed="8"/>
        <rFont val="Calibri"/>
        <charset val="0"/>
      </rPr>
      <t>_</t>
    </r>
    <r>
      <rPr>
        <sz val="10"/>
        <color indexed="8"/>
        <rFont val="宋体"/>
        <charset val="0"/>
      </rPr>
      <t>社会保障缴费</t>
    </r>
  </si>
  <si>
    <r>
      <rPr>
        <sz val="10"/>
        <color indexed="8"/>
        <rFont val="宋体"/>
        <charset val="0"/>
      </rPr>
      <t>黄石经济技术开发区财政局本级</t>
    </r>
    <r>
      <rPr>
        <sz val="10"/>
        <color indexed="8"/>
        <rFont val="Calibri"/>
        <charset val="0"/>
      </rPr>
      <t>_</t>
    </r>
    <r>
      <rPr>
        <sz val="10"/>
        <color indexed="8"/>
        <rFont val="宋体"/>
        <charset val="0"/>
      </rPr>
      <t>住房公积金</t>
    </r>
  </si>
  <si>
    <r>
      <rPr>
        <sz val="10"/>
        <color indexed="8"/>
        <rFont val="宋体"/>
        <charset val="0"/>
      </rPr>
      <t>黄石经济技术开发区财政局本级</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</si>
  <si>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008001</t>
    </r>
  </si>
  <si>
    <r>
      <rPr>
        <b/>
        <sz val="10"/>
        <color indexed="8"/>
        <rFont val="宋体"/>
        <charset val="0"/>
      </rPr>
      <t>　　黄石经济技术开发区</t>
    </r>
    <r>
      <rPr>
        <b/>
        <sz val="10"/>
        <color indexed="8"/>
        <rFont val="Calibri"/>
        <charset val="0"/>
      </rPr>
      <t>·</t>
    </r>
    <r>
      <rPr>
        <b/>
        <sz val="10"/>
        <color indexed="8"/>
        <rFont val="宋体"/>
        <charset val="0"/>
      </rPr>
      <t>铁山区审计局本级</t>
    </r>
  </si>
  <si>
    <r>
      <rPr>
        <sz val="10"/>
        <color indexed="8"/>
        <rFont val="宋体"/>
        <charset val="0"/>
      </rPr>
      <t>　　　</t>
    </r>
    <r>
      <rPr>
        <sz val="10"/>
        <color indexed="8"/>
        <rFont val="Calibri"/>
        <charset val="0"/>
      </rPr>
      <t>008001</t>
    </r>
  </si>
  <si>
    <r>
      <rPr>
        <sz val="10"/>
        <color indexed="8"/>
        <rFont val="宋体"/>
        <charset val="0"/>
      </rPr>
      <t>　　　黄石经济技术开发区</t>
    </r>
    <r>
      <rPr>
        <sz val="10"/>
        <color indexed="8"/>
        <rFont val="Calibri"/>
        <charset val="0"/>
      </rPr>
      <t>·</t>
    </r>
    <r>
      <rPr>
        <sz val="10"/>
        <color indexed="8"/>
        <rFont val="宋体"/>
        <charset val="0"/>
      </rPr>
      <t>铁山区审计局本级</t>
    </r>
  </si>
  <si>
    <t>2010801</t>
  </si>
  <si>
    <r>
      <rPr>
        <sz val="10"/>
        <color indexed="8"/>
        <rFont val="宋体"/>
        <charset val="0"/>
      </rPr>
      <t>黄石经济技术开发区</t>
    </r>
    <r>
      <rPr>
        <sz val="10"/>
        <color indexed="8"/>
        <rFont val="Calibri"/>
        <charset val="0"/>
      </rPr>
      <t>·</t>
    </r>
    <r>
      <rPr>
        <sz val="10"/>
        <color indexed="8"/>
        <rFont val="宋体"/>
        <charset val="0"/>
      </rPr>
      <t>铁山区审计局本级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</si>
  <si>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铁山区审计局本级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</si>
  <si>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铁山区审计局本级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</si>
  <si>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铁山区审计局本级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</si>
  <si>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铁山区审计局本级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</si>
  <si>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铁山区审计局本级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</si>
  <si>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铁山区审计局本级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</si>
  <si>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铁山区审计局本级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</si>
  <si>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铁山区审计局本级</t>
    </r>
    <r>
      <rPr>
        <sz val="10"/>
        <color indexed="8"/>
        <rFont val="Calibri"/>
        <charset val="0"/>
      </rPr>
      <t>_</t>
    </r>
    <r>
      <rPr>
        <sz val="10"/>
        <color indexed="8"/>
        <rFont val="宋体"/>
        <charset val="0"/>
      </rPr>
      <t>住房公积金</t>
    </r>
  </si>
  <si>
    <r>
      <rPr>
        <b/>
        <sz val="10"/>
        <color indexed="8"/>
        <rFont val="宋体"/>
        <charset val="0"/>
      </rPr>
      <t>　　</t>
    </r>
    <r>
      <rPr>
        <b/>
        <sz val="10"/>
        <color indexed="8"/>
        <rFont val="Calibri"/>
        <charset val="0"/>
      </rPr>
      <t>009001</t>
    </r>
  </si>
  <si>
    <r>
      <rPr>
        <b/>
        <sz val="10"/>
        <color indexed="8"/>
        <rFont val="宋体"/>
        <charset val="0"/>
      </rPr>
      <t>　　黄石经济技术开发区</t>
    </r>
    <r>
      <rPr>
        <b/>
        <sz val="10"/>
        <color indexed="8"/>
        <rFont val="Calibri"/>
        <charset val="0"/>
      </rPr>
      <t>·</t>
    </r>
    <r>
      <rPr>
        <b/>
        <sz val="10"/>
        <color indexed="8"/>
        <rFont val="宋体"/>
        <charset val="0"/>
      </rPr>
      <t>铁山区群团工作部本级</t>
    </r>
  </si>
  <si>
    <r>
      <rPr>
        <sz val="10"/>
        <color indexed="8"/>
        <rFont val="宋体"/>
        <charset val="0"/>
      </rPr>
      <t>　　　</t>
    </r>
    <r>
      <rPr>
        <sz val="10"/>
        <color indexed="8"/>
        <rFont val="Calibri"/>
        <charset val="0"/>
      </rPr>
      <t>009001</t>
    </r>
  </si>
  <si>
    <r>
      <rPr>
        <sz val="10"/>
        <color indexed="8"/>
        <rFont val="宋体"/>
        <charset val="0"/>
      </rPr>
      <t>　　　黄石经济技术开发区</t>
    </r>
    <r>
      <rPr>
        <sz val="10"/>
        <color indexed="8"/>
        <rFont val="Calibri"/>
        <charset val="0"/>
      </rPr>
      <t>·</t>
    </r>
    <r>
      <rPr>
        <sz val="10"/>
        <color indexed="8"/>
        <rFont val="宋体"/>
        <charset val="0"/>
      </rPr>
      <t>铁山区群团工作部本级</t>
    </r>
  </si>
  <si>
    <t>2012901</t>
  </si>
  <si>
    <r>
      <rPr>
        <sz val="10"/>
        <color indexed="8"/>
        <rFont val="宋体"/>
        <charset val="0"/>
      </rPr>
      <t>黄石经济技术开发区</t>
    </r>
    <r>
      <rPr>
        <sz val="10"/>
        <color indexed="8"/>
        <rFont val="Calibri"/>
        <charset val="0"/>
      </rPr>
      <t>·</t>
    </r>
    <r>
      <rPr>
        <sz val="10"/>
        <color indexed="8"/>
        <rFont val="宋体"/>
        <charset val="0"/>
      </rPr>
      <t>铁山区群团工作部本级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</si>
  <si>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铁山区群团工作部本级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</si>
  <si>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铁山区群团工作部本级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</si>
  <si>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铁山区群团工作部本级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</si>
  <si>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铁山区群团工作部本级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</si>
  <si>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铁山区群团工作部本级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</si>
  <si>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铁山区群团工作部本级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</si>
  <si>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铁山区群团工作部本级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</si>
  <si>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铁山区群团工作部本级</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</si>
  <si>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010001</t>
    </r>
  </si>
  <si>
    <r>
      <rPr>
        <b/>
        <sz val="10"/>
        <color indexed="8"/>
        <rFont val="宋体"/>
        <charset val="0"/>
      </rPr>
      <t>　　中共黄石经济技术开发区工委</t>
    </r>
    <r>
      <rPr>
        <b/>
        <sz val="10"/>
        <color indexed="8"/>
        <rFont val="Calibri"/>
        <charset val="0"/>
      </rPr>
      <t>·</t>
    </r>
    <r>
      <rPr>
        <b/>
        <sz val="10"/>
        <color indexed="8"/>
        <rFont val="宋体"/>
        <charset val="0"/>
      </rPr>
      <t>铁山区委宣传部本级</t>
    </r>
  </si>
  <si>
    <r>
      <rPr>
        <sz val="10"/>
        <color indexed="8"/>
        <rFont val="宋体"/>
        <charset val="0"/>
      </rPr>
      <t>　　　</t>
    </r>
    <r>
      <rPr>
        <sz val="10"/>
        <color indexed="8"/>
        <rFont val="Calibri"/>
        <charset val="0"/>
      </rPr>
      <t>010001</t>
    </r>
  </si>
  <si>
    <r>
      <rPr>
        <sz val="10"/>
        <color indexed="8"/>
        <rFont val="宋体"/>
        <charset val="0"/>
      </rPr>
      <t>　　　中共黄石经济技术开发区工委</t>
    </r>
    <r>
      <rPr>
        <sz val="10"/>
        <color indexed="8"/>
        <rFont val="Calibri"/>
        <charset val="0"/>
      </rPr>
      <t>·</t>
    </r>
    <r>
      <rPr>
        <sz val="10"/>
        <color indexed="8"/>
        <rFont val="宋体"/>
        <charset val="0"/>
      </rPr>
      <t>铁山区委宣传部本级</t>
    </r>
  </si>
  <si>
    <t>2013301</t>
  </si>
  <si>
    <r>
      <rPr>
        <sz val="10"/>
        <color indexed="8"/>
        <rFont val="宋体"/>
        <charset val="0"/>
      </rPr>
      <t>中共黄石经济技术开发区工委</t>
    </r>
    <r>
      <rPr>
        <sz val="10"/>
        <color indexed="8"/>
        <rFont val="Calibri"/>
        <charset val="0"/>
      </rPr>
      <t>·</t>
    </r>
    <r>
      <rPr>
        <sz val="10"/>
        <color indexed="8"/>
        <rFont val="宋体"/>
        <charset val="0"/>
      </rPr>
      <t>铁山区委宣传部本级</t>
    </r>
    <r>
      <rPr>
        <sz val="10"/>
        <color indexed="8"/>
        <rFont val="Calibri"/>
        <charset val="0"/>
      </rPr>
      <t>_</t>
    </r>
    <r>
      <rPr>
        <sz val="10"/>
        <color indexed="8"/>
        <rFont val="宋体"/>
        <charset val="0"/>
      </rPr>
      <t>社会保障缴费</t>
    </r>
  </si>
  <si>
    <r>
      <rPr>
        <sz val="10"/>
        <color indexed="8"/>
        <rFont val="宋体"/>
        <charset val="0"/>
      </rPr>
      <t>中共黄石经济技术开发区工委</t>
    </r>
    <r>
      <rPr>
        <sz val="10"/>
        <color indexed="8"/>
        <rFont val="Calibri"/>
        <charset val="0"/>
      </rPr>
      <t>·</t>
    </r>
    <r>
      <rPr>
        <sz val="10"/>
        <color indexed="8"/>
        <rFont val="宋体"/>
        <charset val="0"/>
      </rPr>
      <t>铁山区委宣传部本级</t>
    </r>
    <r>
      <rPr>
        <sz val="10"/>
        <color indexed="8"/>
        <rFont val="Calibri"/>
        <charset val="0"/>
      </rPr>
      <t>_</t>
    </r>
    <r>
      <rPr>
        <sz val="10"/>
        <color indexed="8"/>
        <rFont val="宋体"/>
        <charset val="0"/>
      </rPr>
      <t>职工福利费</t>
    </r>
  </si>
  <si>
    <r>
      <rPr>
        <sz val="10"/>
        <color indexed="8"/>
        <rFont val="宋体"/>
        <charset val="0"/>
      </rPr>
      <t>中共黄石经济技术开发区工委</t>
    </r>
    <r>
      <rPr>
        <sz val="10"/>
        <color indexed="8"/>
        <rFont val="Calibri"/>
        <charset val="0"/>
      </rPr>
      <t>·</t>
    </r>
    <r>
      <rPr>
        <sz val="10"/>
        <color indexed="8"/>
        <rFont val="宋体"/>
        <charset val="0"/>
      </rPr>
      <t>铁山区委宣传部本级</t>
    </r>
    <r>
      <rPr>
        <sz val="10"/>
        <color indexed="8"/>
        <rFont val="Calibri"/>
        <charset val="0"/>
      </rPr>
      <t>_</t>
    </r>
    <r>
      <rPr>
        <sz val="10"/>
        <color indexed="8"/>
        <rFont val="宋体"/>
        <charset val="0"/>
      </rPr>
      <t>其他对个人和家庭的补助</t>
    </r>
  </si>
  <si>
    <r>
      <rPr>
        <sz val="10"/>
        <color indexed="8"/>
        <rFont val="宋体"/>
        <charset val="0"/>
      </rPr>
      <t>中共黄石经济技术开发区工委</t>
    </r>
    <r>
      <rPr>
        <sz val="10"/>
        <color indexed="8"/>
        <rFont val="Calibri"/>
        <charset val="0"/>
      </rPr>
      <t>·</t>
    </r>
    <r>
      <rPr>
        <sz val="10"/>
        <color indexed="8"/>
        <rFont val="宋体"/>
        <charset val="0"/>
      </rPr>
      <t>铁山区委宣传部本级</t>
    </r>
    <r>
      <rPr>
        <sz val="10"/>
        <color indexed="8"/>
        <rFont val="Calibri"/>
        <charset val="0"/>
      </rPr>
      <t>_</t>
    </r>
    <r>
      <rPr>
        <sz val="10"/>
        <color indexed="8"/>
        <rFont val="宋体"/>
        <charset val="0"/>
      </rPr>
      <t>在职人员公用经费</t>
    </r>
  </si>
  <si>
    <r>
      <rPr>
        <sz val="10"/>
        <color indexed="8"/>
        <rFont val="宋体"/>
        <charset val="0"/>
      </rPr>
      <t>中共黄石经济技术开发区工委</t>
    </r>
    <r>
      <rPr>
        <sz val="10"/>
        <color indexed="8"/>
        <rFont val="Calibri"/>
        <charset val="0"/>
      </rPr>
      <t>·</t>
    </r>
    <r>
      <rPr>
        <sz val="10"/>
        <color indexed="8"/>
        <rFont val="宋体"/>
        <charset val="0"/>
      </rPr>
      <t>铁山区委宣传部本级</t>
    </r>
    <r>
      <rPr>
        <sz val="10"/>
        <color indexed="8"/>
        <rFont val="Calibri"/>
        <charset val="0"/>
      </rPr>
      <t>_</t>
    </r>
    <r>
      <rPr>
        <sz val="10"/>
        <color indexed="8"/>
        <rFont val="宋体"/>
        <charset val="0"/>
      </rPr>
      <t>住房公积金</t>
    </r>
  </si>
  <si>
    <r>
      <rPr>
        <sz val="10"/>
        <color indexed="8"/>
        <rFont val="宋体"/>
        <charset val="0"/>
      </rPr>
      <t>中共黄石经济技术开发区工委</t>
    </r>
    <r>
      <rPr>
        <sz val="10"/>
        <color indexed="8"/>
        <rFont val="Calibri"/>
        <charset val="0"/>
      </rPr>
      <t>·</t>
    </r>
    <r>
      <rPr>
        <sz val="10"/>
        <color indexed="8"/>
        <rFont val="宋体"/>
        <charset val="0"/>
      </rPr>
      <t>铁山区委宣传部本级</t>
    </r>
    <r>
      <rPr>
        <sz val="10"/>
        <color indexed="8"/>
        <rFont val="Calibri"/>
        <charset val="0"/>
      </rPr>
      <t>_</t>
    </r>
    <r>
      <rPr>
        <sz val="10"/>
        <color indexed="8"/>
        <rFont val="宋体"/>
        <charset val="0"/>
      </rPr>
      <t>交通费</t>
    </r>
  </si>
  <si>
    <r>
      <rPr>
        <sz val="10"/>
        <color indexed="8"/>
        <rFont val="宋体"/>
        <charset val="0"/>
      </rPr>
      <t>中共黄石经济技术开发区工委</t>
    </r>
    <r>
      <rPr>
        <sz val="10"/>
        <color indexed="8"/>
        <rFont val="Calibri"/>
        <charset val="0"/>
      </rPr>
      <t>·</t>
    </r>
    <r>
      <rPr>
        <sz val="10"/>
        <color indexed="8"/>
        <rFont val="宋体"/>
        <charset val="0"/>
      </rPr>
      <t>铁山区委宣传部本级</t>
    </r>
    <r>
      <rPr>
        <sz val="10"/>
        <color indexed="8"/>
        <rFont val="Calibri"/>
        <charset val="0"/>
      </rPr>
      <t>_</t>
    </r>
    <r>
      <rPr>
        <sz val="10"/>
        <color indexed="8"/>
        <rFont val="宋体"/>
        <charset val="0"/>
      </rPr>
      <t>离退休人员公用经费</t>
    </r>
  </si>
  <si>
    <r>
      <rPr>
        <sz val="10"/>
        <color indexed="8"/>
        <rFont val="宋体"/>
        <charset val="0"/>
      </rPr>
      <t>中共黄石经济技术开发区工委</t>
    </r>
    <r>
      <rPr>
        <sz val="10"/>
        <color indexed="8"/>
        <rFont val="Calibri"/>
        <charset val="0"/>
      </rPr>
      <t>·</t>
    </r>
    <r>
      <rPr>
        <sz val="10"/>
        <color indexed="8"/>
        <rFont val="宋体"/>
        <charset val="0"/>
      </rPr>
      <t>铁山区委宣传部本级</t>
    </r>
    <r>
      <rPr>
        <sz val="10"/>
        <color indexed="8"/>
        <rFont val="Calibri"/>
        <charset val="0"/>
      </rPr>
      <t>_</t>
    </r>
    <r>
      <rPr>
        <sz val="10"/>
        <color indexed="8"/>
        <rFont val="宋体"/>
        <charset val="0"/>
      </rPr>
      <t>工资福利支出</t>
    </r>
  </si>
  <si>
    <r>
      <rPr>
        <sz val="10"/>
        <color indexed="8"/>
        <rFont val="宋体"/>
        <charset val="0"/>
      </rPr>
      <t>中共黄石经济技术开发区工委</t>
    </r>
    <r>
      <rPr>
        <sz val="10"/>
        <color indexed="8"/>
        <rFont val="Calibri"/>
        <charset val="0"/>
      </rPr>
      <t>·</t>
    </r>
    <r>
      <rPr>
        <sz val="10"/>
        <color indexed="8"/>
        <rFont val="宋体"/>
        <charset val="0"/>
      </rPr>
      <t>铁山区委宣传部本级</t>
    </r>
    <r>
      <rPr>
        <sz val="10"/>
        <color indexed="8"/>
        <rFont val="Calibri"/>
        <charset val="0"/>
      </rPr>
      <t>_</t>
    </r>
    <r>
      <rPr>
        <sz val="10"/>
        <color indexed="8"/>
        <rFont val="宋体"/>
        <charset val="0"/>
      </rPr>
      <t>离退休费</t>
    </r>
  </si>
  <si>
    <r>
      <rPr>
        <b/>
        <sz val="10"/>
        <color indexed="8"/>
        <rFont val="宋体"/>
        <charset val="0"/>
      </rPr>
      <t>　　</t>
    </r>
    <r>
      <rPr>
        <b/>
        <sz val="10"/>
        <color indexed="8"/>
        <rFont val="Calibri"/>
        <charset val="0"/>
      </rPr>
      <t>011001</t>
    </r>
  </si>
  <si>
    <r>
      <rPr>
        <b/>
        <sz val="10"/>
        <color indexed="8"/>
        <rFont val="宋体"/>
        <charset val="0"/>
      </rPr>
      <t>　　中共黄石经济技术开发区工委</t>
    </r>
    <r>
      <rPr>
        <b/>
        <sz val="10"/>
        <color indexed="8"/>
        <rFont val="Calibri"/>
        <charset val="0"/>
      </rPr>
      <t>·</t>
    </r>
    <r>
      <rPr>
        <b/>
        <sz val="10"/>
        <color indexed="8"/>
        <rFont val="宋体"/>
        <charset val="0"/>
      </rPr>
      <t>铁山区委统战部本级</t>
    </r>
  </si>
  <si>
    <r>
      <rPr>
        <sz val="10"/>
        <color indexed="8"/>
        <rFont val="宋体"/>
        <charset val="0"/>
      </rPr>
      <t>　　　</t>
    </r>
    <r>
      <rPr>
        <sz val="10"/>
        <color indexed="8"/>
        <rFont val="Calibri"/>
        <charset val="0"/>
      </rPr>
      <t>011001</t>
    </r>
  </si>
  <si>
    <r>
      <rPr>
        <sz val="10"/>
        <color indexed="8"/>
        <rFont val="宋体"/>
        <charset val="0"/>
      </rPr>
      <t>　　　中共黄石经济技术开发区工委</t>
    </r>
    <r>
      <rPr>
        <sz val="10"/>
        <color indexed="8"/>
        <rFont val="Calibri"/>
        <charset val="0"/>
      </rPr>
      <t>·</t>
    </r>
    <r>
      <rPr>
        <sz val="10"/>
        <color indexed="8"/>
        <rFont val="宋体"/>
        <charset val="0"/>
      </rPr>
      <t>铁山区委统战部本级</t>
    </r>
  </si>
  <si>
    <t>2013401</t>
  </si>
  <si>
    <r>
      <rPr>
        <sz val="10"/>
        <color indexed="8"/>
        <rFont val="宋体"/>
        <charset val="0"/>
      </rPr>
      <t>中共黄石经济技术开发区工委</t>
    </r>
    <r>
      <rPr>
        <sz val="10"/>
        <color indexed="8"/>
        <rFont val="Calibri"/>
        <charset val="0"/>
      </rPr>
      <t>·</t>
    </r>
    <r>
      <rPr>
        <sz val="10"/>
        <color indexed="8"/>
        <rFont val="宋体"/>
        <charset val="0"/>
      </rPr>
      <t>铁山区委统战部本级</t>
    </r>
    <r>
      <rPr>
        <sz val="10"/>
        <color indexed="8"/>
        <rFont val="Calibri"/>
        <charset val="0"/>
      </rPr>
      <t>_</t>
    </r>
    <r>
      <rPr>
        <sz val="10"/>
        <color indexed="8"/>
        <rFont val="宋体"/>
        <charset val="0"/>
      </rPr>
      <t>离退休人员公用经费</t>
    </r>
  </si>
  <si>
    <r>
      <rPr>
        <sz val="10"/>
        <color indexed="8"/>
        <rFont val="宋体"/>
        <charset val="0"/>
      </rPr>
      <t>中共黄石经济技术开发区工委</t>
    </r>
    <r>
      <rPr>
        <sz val="10"/>
        <color indexed="8"/>
        <rFont val="Calibri"/>
        <charset val="0"/>
      </rPr>
      <t>·</t>
    </r>
    <r>
      <rPr>
        <sz val="10"/>
        <color indexed="8"/>
        <rFont val="宋体"/>
        <charset val="0"/>
      </rPr>
      <t>铁山区委统战部本级</t>
    </r>
    <r>
      <rPr>
        <sz val="10"/>
        <color indexed="8"/>
        <rFont val="Calibri"/>
        <charset val="0"/>
      </rPr>
      <t>_</t>
    </r>
    <r>
      <rPr>
        <sz val="10"/>
        <color indexed="8"/>
        <rFont val="宋体"/>
        <charset val="0"/>
      </rPr>
      <t>住房公积金</t>
    </r>
  </si>
  <si>
    <r>
      <rPr>
        <sz val="10"/>
        <color indexed="8"/>
        <rFont val="宋体"/>
        <charset val="0"/>
      </rPr>
      <t>中共黄石经济技术开发区工委</t>
    </r>
    <r>
      <rPr>
        <sz val="10"/>
        <color indexed="8"/>
        <rFont val="Calibri"/>
        <charset val="0"/>
      </rPr>
      <t>·</t>
    </r>
    <r>
      <rPr>
        <sz val="10"/>
        <color indexed="8"/>
        <rFont val="宋体"/>
        <charset val="0"/>
      </rPr>
      <t>铁山区委统战部本级</t>
    </r>
    <r>
      <rPr>
        <sz val="10"/>
        <color indexed="8"/>
        <rFont val="Calibri"/>
        <charset val="0"/>
      </rPr>
      <t>_</t>
    </r>
    <r>
      <rPr>
        <sz val="10"/>
        <color indexed="8"/>
        <rFont val="宋体"/>
        <charset val="0"/>
      </rPr>
      <t>在职人员公用经费</t>
    </r>
  </si>
  <si>
    <r>
      <rPr>
        <sz val="10"/>
        <color indexed="8"/>
        <rFont val="宋体"/>
        <charset val="0"/>
      </rPr>
      <t>中共黄石经济技术开发区工委</t>
    </r>
    <r>
      <rPr>
        <sz val="10"/>
        <color indexed="8"/>
        <rFont val="Calibri"/>
        <charset val="0"/>
      </rPr>
      <t>·</t>
    </r>
    <r>
      <rPr>
        <sz val="10"/>
        <color indexed="8"/>
        <rFont val="宋体"/>
        <charset val="0"/>
      </rPr>
      <t>铁山区委统战部本级</t>
    </r>
    <r>
      <rPr>
        <sz val="10"/>
        <color indexed="8"/>
        <rFont val="Calibri"/>
        <charset val="0"/>
      </rPr>
      <t>_</t>
    </r>
    <r>
      <rPr>
        <sz val="10"/>
        <color indexed="8"/>
        <rFont val="宋体"/>
        <charset val="0"/>
      </rPr>
      <t>职工福利费</t>
    </r>
  </si>
  <si>
    <r>
      <rPr>
        <sz val="10"/>
        <color indexed="8"/>
        <rFont val="宋体"/>
        <charset val="0"/>
      </rPr>
      <t>中共黄石经济技术开发区工委</t>
    </r>
    <r>
      <rPr>
        <sz val="10"/>
        <color indexed="8"/>
        <rFont val="Calibri"/>
        <charset val="0"/>
      </rPr>
      <t>·</t>
    </r>
    <r>
      <rPr>
        <sz val="10"/>
        <color indexed="8"/>
        <rFont val="宋体"/>
        <charset val="0"/>
      </rPr>
      <t>铁山区委统战部本级</t>
    </r>
    <r>
      <rPr>
        <sz val="10"/>
        <color indexed="8"/>
        <rFont val="Calibri"/>
        <charset val="0"/>
      </rPr>
      <t>_</t>
    </r>
    <r>
      <rPr>
        <sz val="10"/>
        <color indexed="8"/>
        <rFont val="宋体"/>
        <charset val="0"/>
      </rPr>
      <t>交通费</t>
    </r>
  </si>
  <si>
    <r>
      <rPr>
        <sz val="10"/>
        <color indexed="8"/>
        <rFont val="宋体"/>
        <charset val="0"/>
      </rPr>
      <t>中共黄石经济技术开发区工委</t>
    </r>
    <r>
      <rPr>
        <sz val="10"/>
        <color indexed="8"/>
        <rFont val="Calibri"/>
        <charset val="0"/>
      </rPr>
      <t>·</t>
    </r>
    <r>
      <rPr>
        <sz val="10"/>
        <color indexed="8"/>
        <rFont val="宋体"/>
        <charset val="0"/>
      </rPr>
      <t>铁山区委统战部本级</t>
    </r>
    <r>
      <rPr>
        <sz val="10"/>
        <color indexed="8"/>
        <rFont val="Calibri"/>
        <charset val="0"/>
      </rPr>
      <t>_</t>
    </r>
    <r>
      <rPr>
        <sz val="10"/>
        <color indexed="8"/>
        <rFont val="宋体"/>
        <charset val="0"/>
      </rPr>
      <t>社会保障缴费</t>
    </r>
  </si>
  <si>
    <r>
      <rPr>
        <sz val="10"/>
        <color indexed="8"/>
        <rFont val="宋体"/>
        <charset val="0"/>
      </rPr>
      <t>中共黄石经济技术开发区工委</t>
    </r>
    <r>
      <rPr>
        <sz val="10"/>
        <color indexed="8"/>
        <rFont val="Calibri"/>
        <charset val="0"/>
      </rPr>
      <t>·</t>
    </r>
    <r>
      <rPr>
        <sz val="10"/>
        <color indexed="8"/>
        <rFont val="宋体"/>
        <charset val="0"/>
      </rPr>
      <t>铁山区委统战部本级</t>
    </r>
    <r>
      <rPr>
        <sz val="10"/>
        <color indexed="8"/>
        <rFont val="Calibri"/>
        <charset val="0"/>
      </rPr>
      <t>_</t>
    </r>
    <r>
      <rPr>
        <sz val="10"/>
        <color indexed="8"/>
        <rFont val="宋体"/>
        <charset val="0"/>
      </rPr>
      <t>其他对个人和家庭的补助</t>
    </r>
  </si>
  <si>
    <r>
      <rPr>
        <sz val="10"/>
        <color indexed="8"/>
        <rFont val="宋体"/>
        <charset val="0"/>
      </rPr>
      <t>中共黄石经济技术开发区工委</t>
    </r>
    <r>
      <rPr>
        <sz val="10"/>
        <color indexed="8"/>
        <rFont val="Calibri"/>
        <charset val="0"/>
      </rPr>
      <t>·</t>
    </r>
    <r>
      <rPr>
        <sz val="10"/>
        <color indexed="8"/>
        <rFont val="宋体"/>
        <charset val="0"/>
      </rPr>
      <t>铁山区委统战部本级</t>
    </r>
    <r>
      <rPr>
        <sz val="10"/>
        <color indexed="8"/>
        <rFont val="Calibri"/>
        <charset val="0"/>
      </rPr>
      <t>_</t>
    </r>
    <r>
      <rPr>
        <sz val="10"/>
        <color indexed="8"/>
        <rFont val="宋体"/>
        <charset val="0"/>
      </rPr>
      <t>离退休费</t>
    </r>
  </si>
  <si>
    <r>
      <rPr>
        <sz val="10"/>
        <color indexed="8"/>
        <rFont val="宋体"/>
        <charset val="0"/>
      </rPr>
      <t>中共黄石经济技术开发区工委</t>
    </r>
    <r>
      <rPr>
        <sz val="10"/>
        <color indexed="8"/>
        <rFont val="Calibri"/>
        <charset val="0"/>
      </rPr>
      <t>·</t>
    </r>
    <r>
      <rPr>
        <sz val="10"/>
        <color indexed="8"/>
        <rFont val="宋体"/>
        <charset val="0"/>
      </rPr>
      <t>铁山区委统战部本级</t>
    </r>
    <r>
      <rPr>
        <sz val="10"/>
        <color indexed="8"/>
        <rFont val="Calibri"/>
        <charset val="0"/>
      </rPr>
      <t>_</t>
    </r>
    <r>
      <rPr>
        <sz val="10"/>
        <color indexed="8"/>
        <rFont val="宋体"/>
        <charset val="0"/>
      </rPr>
      <t>工资福利支出</t>
    </r>
  </si>
  <si>
    <r>
      <rPr>
        <b/>
        <sz val="10"/>
        <color indexed="8"/>
        <rFont val="宋体"/>
        <charset val="0"/>
      </rPr>
      <t>　　</t>
    </r>
    <r>
      <rPr>
        <b/>
        <sz val="10"/>
        <color indexed="8"/>
        <rFont val="Calibri"/>
        <charset val="0"/>
      </rPr>
      <t>012001</t>
    </r>
  </si>
  <si>
    <r>
      <rPr>
        <b/>
        <sz val="10"/>
        <color indexed="8"/>
        <rFont val="宋体"/>
        <charset val="0"/>
      </rPr>
      <t>　　黄石经济技术开发区</t>
    </r>
    <r>
      <rPr>
        <b/>
        <sz val="10"/>
        <color indexed="8"/>
        <rFont val="Calibri"/>
        <charset val="0"/>
      </rPr>
      <t>·</t>
    </r>
    <r>
      <rPr>
        <b/>
        <sz val="10"/>
        <color indexed="8"/>
        <rFont val="宋体"/>
        <charset val="0"/>
      </rPr>
      <t>铁山区政务服务和大数据管理局本级</t>
    </r>
  </si>
  <si>
    <r>
      <rPr>
        <sz val="10"/>
        <color indexed="8"/>
        <rFont val="宋体"/>
        <charset val="0"/>
      </rPr>
      <t>　　　</t>
    </r>
    <r>
      <rPr>
        <sz val="10"/>
        <color indexed="8"/>
        <rFont val="Calibri"/>
        <charset val="0"/>
      </rPr>
      <t>012001</t>
    </r>
  </si>
  <si>
    <r>
      <rPr>
        <sz val="10"/>
        <color indexed="8"/>
        <rFont val="宋体"/>
        <charset val="0"/>
      </rPr>
      <t>　　　黄石经济技术开发区</t>
    </r>
    <r>
      <rPr>
        <sz val="10"/>
        <color indexed="8"/>
        <rFont val="Calibri"/>
        <charset val="0"/>
      </rPr>
      <t>·</t>
    </r>
    <r>
      <rPr>
        <sz val="10"/>
        <color indexed="8"/>
        <rFont val="宋体"/>
        <charset val="0"/>
      </rPr>
      <t>铁山区政务服务和大数据管理局本级</t>
    </r>
  </si>
  <si>
    <t>2013701</t>
  </si>
  <si>
    <r>
      <rPr>
        <sz val="10"/>
        <color indexed="8"/>
        <rFont val="宋体"/>
        <charset val="0"/>
      </rPr>
      <t>黄石经济技术开发区</t>
    </r>
    <r>
      <rPr>
        <sz val="10"/>
        <color indexed="8"/>
        <rFont val="Calibri"/>
        <charset val="0"/>
      </rPr>
      <t>·</t>
    </r>
    <r>
      <rPr>
        <sz val="10"/>
        <color indexed="8"/>
        <rFont val="宋体"/>
        <charset val="0"/>
      </rPr>
      <t>铁山区政务服务和大数据管理局本级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</si>
  <si>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铁山区政务服务和大数据管理局本级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</si>
  <si>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铁山区政务服务和大数据管理局本级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</si>
  <si>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铁山区政务服务和大数据管理局本级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</si>
  <si>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铁山区政务服务和大数据管理局本级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</si>
  <si>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铁山区政务服务和大数据管理局本级</t>
    </r>
    <r>
      <rPr>
        <sz val="10"/>
        <color indexed="8"/>
        <rFont val="Calibri"/>
        <charset val="0"/>
      </rPr>
      <t>_</t>
    </r>
    <r>
      <rPr>
        <sz val="10"/>
        <color indexed="8"/>
        <rFont val="宋体"/>
        <charset val="0"/>
      </rPr>
      <t>职工福利费</t>
    </r>
  </si>
  <si>
    <r>
      <rPr>
        <b/>
        <sz val="10"/>
        <color indexed="8"/>
        <rFont val="宋体"/>
        <charset val="0"/>
      </rPr>
      <t>　　</t>
    </r>
    <r>
      <rPr>
        <b/>
        <sz val="10"/>
        <color indexed="8"/>
        <rFont val="Calibri"/>
        <charset val="0"/>
      </rPr>
      <t>013001</t>
    </r>
  </si>
  <si>
    <r>
      <rPr>
        <b/>
        <sz val="10"/>
        <color indexed="8"/>
        <rFont val="宋体"/>
        <charset val="0"/>
      </rPr>
      <t>　　黄石经济技术开发区</t>
    </r>
    <r>
      <rPr>
        <b/>
        <sz val="10"/>
        <color indexed="8"/>
        <rFont val="Calibri"/>
        <charset val="0"/>
      </rPr>
      <t>·</t>
    </r>
    <r>
      <rPr>
        <b/>
        <sz val="10"/>
        <color indexed="8"/>
        <rFont val="宋体"/>
        <charset val="0"/>
      </rPr>
      <t>铁山区民营企业发展促进中心</t>
    </r>
  </si>
  <si>
    <r>
      <rPr>
        <sz val="10"/>
        <color indexed="8"/>
        <rFont val="宋体"/>
        <charset val="0"/>
      </rPr>
      <t>　　　</t>
    </r>
    <r>
      <rPr>
        <sz val="10"/>
        <color indexed="8"/>
        <rFont val="Calibri"/>
        <charset val="0"/>
      </rPr>
      <t>013001</t>
    </r>
  </si>
  <si>
    <r>
      <rPr>
        <sz val="10"/>
        <color indexed="8"/>
        <rFont val="宋体"/>
        <charset val="0"/>
      </rPr>
      <t>　　　黄石经济技术开发区</t>
    </r>
    <r>
      <rPr>
        <sz val="10"/>
        <color indexed="8"/>
        <rFont val="Calibri"/>
        <charset val="0"/>
      </rPr>
      <t>·</t>
    </r>
    <r>
      <rPr>
        <sz val="10"/>
        <color indexed="8"/>
        <rFont val="宋体"/>
        <charset val="0"/>
      </rPr>
      <t>铁山区民营企业发展促进中心</t>
    </r>
  </si>
  <si>
    <t>2150801</t>
  </si>
  <si>
    <r>
      <rPr>
        <sz val="10"/>
        <color indexed="8"/>
        <rFont val="宋体"/>
        <charset val="0"/>
      </rPr>
      <t>黄石经济技术开发区</t>
    </r>
    <r>
      <rPr>
        <sz val="10"/>
        <color indexed="8"/>
        <rFont val="Calibri"/>
        <charset val="0"/>
      </rPr>
      <t>·</t>
    </r>
    <r>
      <rPr>
        <sz val="10"/>
        <color indexed="8"/>
        <rFont val="宋体"/>
        <charset val="0"/>
      </rPr>
      <t>铁山区民营企业发展促进中心</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</si>
  <si>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铁山区民营企业发展促进中心</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</si>
  <si>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铁山区民营企业发展促进中心</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</si>
  <si>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铁山区民营企业发展促进中心</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</si>
  <si>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铁山区民营企业发展促进中心</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</si>
  <si>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铁山区民营企业发展促进中心</t>
    </r>
    <r>
      <rPr>
        <sz val="10"/>
        <color indexed="8"/>
        <rFont val="Calibri"/>
        <charset val="0"/>
      </rPr>
      <t>_</t>
    </r>
    <r>
      <rPr>
        <sz val="10"/>
        <color indexed="8"/>
        <rFont val="宋体"/>
        <charset val="0"/>
      </rPr>
      <t>社会保障缴费</t>
    </r>
  </si>
  <si>
    <r>
      <rPr>
        <b/>
        <sz val="10"/>
        <color indexed="8"/>
        <rFont val="宋体"/>
        <charset val="0"/>
      </rPr>
      <t>　　</t>
    </r>
    <r>
      <rPr>
        <b/>
        <sz val="10"/>
        <color indexed="8"/>
        <rFont val="Calibri"/>
        <charset val="0"/>
      </rPr>
      <t>014001</t>
    </r>
  </si>
  <si>
    <r>
      <rPr>
        <b/>
        <sz val="10"/>
        <color indexed="8"/>
        <rFont val="宋体"/>
        <charset val="0"/>
      </rPr>
      <t>　　黄石经济技术开发区</t>
    </r>
    <r>
      <rPr>
        <b/>
        <sz val="10"/>
        <color indexed="8"/>
        <rFont val="Calibri"/>
        <charset val="0"/>
      </rPr>
      <t>·</t>
    </r>
    <r>
      <rPr>
        <b/>
        <sz val="10"/>
        <color indexed="8"/>
        <rFont val="宋体"/>
        <charset val="0"/>
      </rPr>
      <t>铁山区统计局本级</t>
    </r>
  </si>
  <si>
    <r>
      <rPr>
        <sz val="10"/>
        <color indexed="8"/>
        <rFont val="宋体"/>
        <charset val="0"/>
      </rPr>
      <t>　　　</t>
    </r>
    <r>
      <rPr>
        <sz val="10"/>
        <color indexed="8"/>
        <rFont val="Calibri"/>
        <charset val="0"/>
      </rPr>
      <t>014001</t>
    </r>
  </si>
  <si>
    <r>
      <rPr>
        <sz val="10"/>
        <color indexed="8"/>
        <rFont val="宋体"/>
        <charset val="0"/>
      </rPr>
      <t>　　　黄石经济技术开发区</t>
    </r>
    <r>
      <rPr>
        <sz val="10"/>
        <color indexed="8"/>
        <rFont val="Calibri"/>
        <charset val="0"/>
      </rPr>
      <t>·</t>
    </r>
    <r>
      <rPr>
        <sz val="10"/>
        <color indexed="8"/>
        <rFont val="宋体"/>
        <charset val="0"/>
      </rPr>
      <t>铁山区统计局本级</t>
    </r>
  </si>
  <si>
    <t>2010501</t>
  </si>
  <si>
    <r>
      <rPr>
        <sz val="10"/>
        <color indexed="8"/>
        <rFont val="宋体"/>
        <charset val="0"/>
      </rPr>
      <t>黄石经济技术开发区</t>
    </r>
    <r>
      <rPr>
        <sz val="10"/>
        <color indexed="8"/>
        <rFont val="Calibri"/>
        <charset val="0"/>
      </rPr>
      <t>·</t>
    </r>
    <r>
      <rPr>
        <sz val="10"/>
        <color indexed="8"/>
        <rFont val="宋体"/>
        <charset val="0"/>
      </rPr>
      <t>铁山区统计局本级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</si>
  <si>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铁山区统计局本级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</si>
  <si>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铁山区统计局本级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</si>
  <si>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铁山区统计局本级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</si>
  <si>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铁山区统计局本级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</si>
  <si>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铁山区统计局本级</t>
    </r>
    <r>
      <rPr>
        <sz val="10"/>
        <color indexed="8"/>
        <rFont val="Calibri"/>
        <charset val="0"/>
      </rPr>
      <t>_</t>
    </r>
    <r>
      <rPr>
        <sz val="10"/>
        <color indexed="8"/>
        <rFont val="宋体"/>
        <charset val="0"/>
      </rPr>
      <t>交通费</t>
    </r>
  </si>
  <si>
    <r>
      <rPr>
        <b/>
        <sz val="10"/>
        <color indexed="8"/>
        <rFont val="宋体"/>
        <charset val="0"/>
      </rPr>
      <t>　　</t>
    </r>
    <r>
      <rPr>
        <b/>
        <sz val="10"/>
        <color indexed="8"/>
        <rFont val="Calibri"/>
        <charset val="0"/>
      </rPr>
      <t>015001</t>
    </r>
  </si>
  <si>
    <r>
      <rPr>
        <b/>
        <sz val="10"/>
        <color indexed="8"/>
        <rFont val="宋体"/>
        <charset val="0"/>
      </rPr>
      <t>　　黄石经济技术开发区</t>
    </r>
    <r>
      <rPr>
        <b/>
        <sz val="10"/>
        <color indexed="8"/>
        <rFont val="Calibri"/>
        <charset val="0"/>
      </rPr>
      <t>·</t>
    </r>
    <r>
      <rPr>
        <b/>
        <sz val="10"/>
        <color indexed="8"/>
        <rFont val="宋体"/>
        <charset val="0"/>
      </rPr>
      <t>铁山区公共资源交易中心本级</t>
    </r>
  </si>
  <si>
    <r>
      <rPr>
        <sz val="10"/>
        <color indexed="8"/>
        <rFont val="宋体"/>
        <charset val="0"/>
      </rPr>
      <t>　　　</t>
    </r>
    <r>
      <rPr>
        <sz val="10"/>
        <color indexed="8"/>
        <rFont val="Calibri"/>
        <charset val="0"/>
      </rPr>
      <t>015001</t>
    </r>
  </si>
  <si>
    <r>
      <rPr>
        <sz val="10"/>
        <color indexed="8"/>
        <rFont val="宋体"/>
        <charset val="0"/>
      </rPr>
      <t>　　　黄石经济技术开发区</t>
    </r>
    <r>
      <rPr>
        <sz val="10"/>
        <color indexed="8"/>
        <rFont val="Calibri"/>
        <charset val="0"/>
      </rPr>
      <t>·</t>
    </r>
    <r>
      <rPr>
        <sz val="10"/>
        <color indexed="8"/>
        <rFont val="宋体"/>
        <charset val="0"/>
      </rPr>
      <t>铁山区公共资源交易中心本级</t>
    </r>
  </si>
  <si>
    <r>
      <rPr>
        <sz val="10"/>
        <color indexed="8"/>
        <rFont val="宋体"/>
        <charset val="0"/>
      </rPr>
      <t>黄石经济技术开发区</t>
    </r>
    <r>
      <rPr>
        <sz val="10"/>
        <color indexed="8"/>
        <rFont val="Calibri"/>
        <charset val="0"/>
      </rPr>
      <t>·</t>
    </r>
    <r>
      <rPr>
        <sz val="10"/>
        <color indexed="8"/>
        <rFont val="宋体"/>
        <charset val="0"/>
      </rPr>
      <t>铁山区公共资源交易中心本级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</si>
  <si>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铁山区公共资源交易中心本级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</si>
  <si>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铁山区公共资源交易中心本级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</si>
  <si>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铁山区公共资源交易中心本级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</si>
  <si>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铁山区公共资源交易中心本级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</si>
  <si>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铁山区公共资源交易中心本级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</si>
  <si>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铁山区公共资源交易中心本级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</si>
  <si>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铁山区公共资源交易中心本级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</si>
  <si>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铁山区公共资源交易中心本级</t>
    </r>
    <r>
      <rPr>
        <sz val="10"/>
        <color indexed="8"/>
        <rFont val="Calibri"/>
        <charset val="0"/>
      </rPr>
      <t>_</t>
    </r>
    <r>
      <rPr>
        <sz val="10"/>
        <color indexed="8"/>
        <rFont val="宋体"/>
        <charset val="0"/>
      </rPr>
      <t>在职人员公用经费</t>
    </r>
  </si>
  <si>
    <r>
      <rPr>
        <b/>
        <sz val="10"/>
        <color indexed="8"/>
        <rFont val="宋体"/>
        <charset val="0"/>
      </rPr>
      <t>　　</t>
    </r>
    <r>
      <rPr>
        <b/>
        <sz val="10"/>
        <color indexed="8"/>
        <rFont val="Calibri"/>
        <charset val="0"/>
      </rPr>
      <t>016001</t>
    </r>
  </si>
  <si>
    <r>
      <rPr>
        <b/>
        <sz val="10"/>
        <color indexed="8"/>
        <rFont val="宋体"/>
        <charset val="0"/>
      </rPr>
      <t>　　黄石经济技术开发区</t>
    </r>
    <r>
      <rPr>
        <b/>
        <sz val="10"/>
        <color indexed="8"/>
        <rFont val="Calibri"/>
        <charset val="0"/>
      </rPr>
      <t>·</t>
    </r>
    <r>
      <rPr>
        <b/>
        <sz val="10"/>
        <color indexed="8"/>
        <rFont val="宋体"/>
        <charset val="0"/>
      </rPr>
      <t>铁山区司法局</t>
    </r>
  </si>
  <si>
    <r>
      <rPr>
        <sz val="10"/>
        <color indexed="8"/>
        <rFont val="宋体"/>
        <charset val="0"/>
      </rPr>
      <t>　　　</t>
    </r>
    <r>
      <rPr>
        <sz val="10"/>
        <color indexed="8"/>
        <rFont val="Calibri"/>
        <charset val="0"/>
      </rPr>
      <t>016001</t>
    </r>
  </si>
  <si>
    <r>
      <rPr>
        <sz val="10"/>
        <color indexed="8"/>
        <rFont val="宋体"/>
        <charset val="0"/>
      </rPr>
      <t>　　　黄石经济技术开发区</t>
    </r>
    <r>
      <rPr>
        <sz val="10"/>
        <color indexed="8"/>
        <rFont val="Calibri"/>
        <charset val="0"/>
      </rPr>
      <t>·</t>
    </r>
    <r>
      <rPr>
        <sz val="10"/>
        <color indexed="8"/>
        <rFont val="宋体"/>
        <charset val="0"/>
      </rPr>
      <t>铁山区司法局</t>
    </r>
  </si>
  <si>
    <t>2040601</t>
  </si>
  <si>
    <t>工资福利支出</t>
  </si>
  <si>
    <t>交通费</t>
  </si>
  <si>
    <t>在职人员公用经费</t>
  </si>
  <si>
    <t>社会保障缴费</t>
  </si>
  <si>
    <t>住房公积金</t>
  </si>
  <si>
    <t>职工福利费</t>
  </si>
  <si>
    <r>
      <rPr>
        <b/>
        <sz val="10"/>
        <color indexed="8"/>
        <rFont val="宋体"/>
        <charset val="0"/>
      </rPr>
      <t>　　</t>
    </r>
    <r>
      <rPr>
        <b/>
        <sz val="10"/>
        <color indexed="8"/>
        <rFont val="Calibri"/>
        <charset val="0"/>
      </rPr>
      <t>101001</t>
    </r>
  </si>
  <si>
    <r>
      <rPr>
        <b/>
        <sz val="10"/>
        <color indexed="8"/>
        <rFont val="宋体"/>
        <charset val="0"/>
      </rPr>
      <t>　　黄石经济技术开发区</t>
    </r>
    <r>
      <rPr>
        <b/>
        <sz val="10"/>
        <color indexed="8"/>
        <rFont val="Calibri"/>
        <charset val="0"/>
      </rPr>
      <t>·</t>
    </r>
    <r>
      <rPr>
        <b/>
        <sz val="10"/>
        <color indexed="8"/>
        <rFont val="宋体"/>
        <charset val="0"/>
      </rPr>
      <t>铁山区农业农村局本级</t>
    </r>
  </si>
  <si>
    <r>
      <rPr>
        <sz val="10"/>
        <color indexed="8"/>
        <rFont val="宋体"/>
        <charset val="0"/>
      </rPr>
      <t>　　　</t>
    </r>
    <r>
      <rPr>
        <sz val="10"/>
        <color indexed="8"/>
        <rFont val="Calibri"/>
        <charset val="0"/>
      </rPr>
      <t>101001</t>
    </r>
  </si>
  <si>
    <r>
      <rPr>
        <sz val="10"/>
        <color indexed="8"/>
        <rFont val="宋体"/>
        <charset val="0"/>
      </rPr>
      <t>　　　黄石经济技术开发区</t>
    </r>
    <r>
      <rPr>
        <sz val="10"/>
        <color indexed="8"/>
        <rFont val="Calibri"/>
        <charset val="0"/>
      </rPr>
      <t>·</t>
    </r>
    <r>
      <rPr>
        <sz val="10"/>
        <color indexed="8"/>
        <rFont val="宋体"/>
        <charset val="0"/>
      </rPr>
      <t>铁山区农业农村局本级</t>
    </r>
  </si>
  <si>
    <t>2130101</t>
  </si>
  <si>
    <r>
      <rPr>
        <sz val="10"/>
        <color indexed="8"/>
        <rFont val="宋体"/>
        <charset val="0"/>
      </rPr>
      <t>黄石经济技术开发区</t>
    </r>
    <r>
      <rPr>
        <sz val="10"/>
        <color indexed="8"/>
        <rFont val="Calibri"/>
        <charset val="0"/>
      </rPr>
      <t>·</t>
    </r>
    <r>
      <rPr>
        <sz val="10"/>
        <color indexed="8"/>
        <rFont val="宋体"/>
        <charset val="0"/>
      </rPr>
      <t>铁山区农业农村局本级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</si>
  <si>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铁山区农业农村局本级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</si>
  <si>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铁山区农业农村局本级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</si>
  <si>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铁山区农业农村局本级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</si>
  <si>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铁山区农业农村局本级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</si>
  <si>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铁山区农业农村局本级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</si>
  <si>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铁山区农业农村局本级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</si>
  <si>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铁山区农业农村局本级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</si>
  <si>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铁山区农业农村局本级</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</si>
  <si>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201001</t>
    </r>
  </si>
  <si>
    <r>
      <rPr>
        <b/>
        <sz val="10"/>
        <color indexed="8"/>
        <rFont val="宋体"/>
        <charset val="0"/>
      </rPr>
      <t>　　黄石经济技术开发区</t>
    </r>
    <r>
      <rPr>
        <b/>
        <sz val="10"/>
        <color indexed="8"/>
        <rFont val="Calibri"/>
        <charset val="0"/>
      </rPr>
      <t>·</t>
    </r>
    <r>
      <rPr>
        <b/>
        <sz val="10"/>
        <color indexed="8"/>
        <rFont val="宋体"/>
        <charset val="0"/>
      </rPr>
      <t>铁山区人力资源和社会保障局本级</t>
    </r>
  </si>
  <si>
    <r>
      <rPr>
        <sz val="10"/>
        <color indexed="8"/>
        <rFont val="宋体"/>
        <charset val="0"/>
      </rPr>
      <t>　　　</t>
    </r>
    <r>
      <rPr>
        <sz val="10"/>
        <color indexed="8"/>
        <rFont val="Calibri"/>
        <charset val="0"/>
      </rPr>
      <t>201001</t>
    </r>
  </si>
  <si>
    <r>
      <rPr>
        <sz val="10"/>
        <color indexed="8"/>
        <rFont val="宋体"/>
        <charset val="0"/>
      </rPr>
      <t>　　　黄石经济技术开发区</t>
    </r>
    <r>
      <rPr>
        <sz val="10"/>
        <color indexed="8"/>
        <rFont val="Calibri"/>
        <charset val="0"/>
      </rPr>
      <t>·</t>
    </r>
    <r>
      <rPr>
        <sz val="10"/>
        <color indexed="8"/>
        <rFont val="宋体"/>
        <charset val="0"/>
      </rPr>
      <t>铁山区人力资源和社会保障局本级</t>
    </r>
  </si>
  <si>
    <t>2080101</t>
  </si>
  <si>
    <r>
      <rPr>
        <sz val="10"/>
        <color indexed="8"/>
        <rFont val="宋体"/>
        <charset val="0"/>
      </rPr>
      <t>黄石经济技术开发区</t>
    </r>
    <r>
      <rPr>
        <sz val="10"/>
        <color indexed="8"/>
        <rFont val="Calibri"/>
        <charset val="0"/>
      </rPr>
      <t>·</t>
    </r>
    <r>
      <rPr>
        <sz val="10"/>
        <color indexed="8"/>
        <rFont val="宋体"/>
        <charset val="0"/>
      </rPr>
      <t>铁山区人力资源和社会保障局本级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</si>
  <si>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铁山区人力资源和社会保障局本级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</si>
  <si>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铁山区人力资源和社会保障局本级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</si>
  <si>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铁山区人力资源和社会保障局本级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</si>
  <si>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铁山区人力资源和社会保障局本级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</si>
  <si>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铁山区人力资源和社会保障局本级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</si>
  <si>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铁山区人力资源和社会保障局本级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</si>
  <si>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铁山区人力资源和社会保障局本级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</si>
  <si>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铁山区人力资源和社会保障局本级</t>
    </r>
    <r>
      <rPr>
        <sz val="10"/>
        <color indexed="8"/>
        <rFont val="Calibri"/>
        <charset val="0"/>
      </rPr>
      <t>_</t>
    </r>
    <r>
      <rPr>
        <sz val="10"/>
        <color indexed="8"/>
        <rFont val="宋体"/>
        <charset val="0"/>
      </rPr>
      <t>住房公积金</t>
    </r>
  </si>
  <si>
    <r>
      <rPr>
        <b/>
        <sz val="10"/>
        <color indexed="8"/>
        <rFont val="宋体"/>
        <charset val="0"/>
      </rPr>
      <t>　　</t>
    </r>
    <r>
      <rPr>
        <b/>
        <sz val="10"/>
        <color indexed="8"/>
        <rFont val="Calibri"/>
        <charset val="0"/>
      </rPr>
      <t>202001</t>
    </r>
  </si>
  <si>
    <r>
      <rPr>
        <b/>
        <sz val="10"/>
        <color indexed="8"/>
        <rFont val="宋体"/>
        <charset val="0"/>
      </rPr>
      <t>　　黄石经济技术开发区</t>
    </r>
    <r>
      <rPr>
        <b/>
        <sz val="10"/>
        <color indexed="8"/>
        <rFont val="Calibri"/>
        <charset val="0"/>
      </rPr>
      <t>·</t>
    </r>
    <r>
      <rPr>
        <b/>
        <sz val="10"/>
        <color indexed="8"/>
        <rFont val="宋体"/>
        <charset val="0"/>
      </rPr>
      <t>铁山区民政局本级</t>
    </r>
  </si>
  <si>
    <r>
      <rPr>
        <sz val="10"/>
        <color indexed="8"/>
        <rFont val="宋体"/>
        <charset val="0"/>
      </rPr>
      <t>　　　</t>
    </r>
    <r>
      <rPr>
        <sz val="10"/>
        <color indexed="8"/>
        <rFont val="Calibri"/>
        <charset val="0"/>
      </rPr>
      <t>202001</t>
    </r>
  </si>
  <si>
    <r>
      <rPr>
        <sz val="10"/>
        <color indexed="8"/>
        <rFont val="宋体"/>
        <charset val="0"/>
      </rPr>
      <t>　　　黄石经济技术开发区</t>
    </r>
    <r>
      <rPr>
        <sz val="10"/>
        <color indexed="8"/>
        <rFont val="Calibri"/>
        <charset val="0"/>
      </rPr>
      <t>·</t>
    </r>
    <r>
      <rPr>
        <sz val="10"/>
        <color indexed="8"/>
        <rFont val="宋体"/>
        <charset val="0"/>
      </rPr>
      <t>铁山区民政局本级</t>
    </r>
  </si>
  <si>
    <t>2080201</t>
  </si>
  <si>
    <r>
      <rPr>
        <sz val="10"/>
        <color indexed="8"/>
        <rFont val="宋体"/>
        <charset val="0"/>
      </rPr>
      <t>黄石经济技术开发区</t>
    </r>
    <r>
      <rPr>
        <sz val="10"/>
        <color indexed="8"/>
        <rFont val="Calibri"/>
        <charset val="0"/>
      </rPr>
      <t>·</t>
    </r>
    <r>
      <rPr>
        <sz val="10"/>
        <color indexed="8"/>
        <rFont val="宋体"/>
        <charset val="0"/>
      </rPr>
      <t>铁山区民政局本级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</si>
  <si>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铁山区民政局本级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</si>
  <si>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铁山区民政局本级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</si>
  <si>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铁山区民政局本级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</si>
  <si>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铁山区民政局本级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</si>
  <si>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铁山区民政局本级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</si>
  <si>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铁山区民政局本级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</si>
  <si>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铁山区民政局本级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</si>
  <si>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铁山区民政局本级</t>
    </r>
    <r>
      <rPr>
        <sz val="10"/>
        <color indexed="8"/>
        <rFont val="Calibri"/>
        <charset val="0"/>
      </rPr>
      <t>_</t>
    </r>
    <r>
      <rPr>
        <sz val="10"/>
        <color indexed="8"/>
        <rFont val="宋体"/>
        <charset val="0"/>
      </rPr>
      <t>其他对个人和家庭的补助</t>
    </r>
  </si>
  <si>
    <r>
      <rPr>
        <b/>
        <sz val="10"/>
        <color indexed="8"/>
        <rFont val="宋体"/>
        <charset val="0"/>
      </rPr>
      <t>　　</t>
    </r>
    <r>
      <rPr>
        <b/>
        <sz val="10"/>
        <color indexed="8"/>
        <rFont val="Calibri"/>
        <charset val="0"/>
      </rPr>
      <t>203001</t>
    </r>
  </si>
  <si>
    <r>
      <rPr>
        <b/>
        <sz val="10"/>
        <color indexed="8"/>
        <rFont val="宋体"/>
        <charset val="0"/>
      </rPr>
      <t>　　黄石经济技术开发区</t>
    </r>
    <r>
      <rPr>
        <b/>
        <sz val="10"/>
        <color indexed="8"/>
        <rFont val="Calibri"/>
        <charset val="0"/>
      </rPr>
      <t>·</t>
    </r>
    <r>
      <rPr>
        <b/>
        <sz val="10"/>
        <color indexed="8"/>
        <rFont val="宋体"/>
        <charset val="0"/>
      </rPr>
      <t>铁山区残疾人联合会本级</t>
    </r>
  </si>
  <si>
    <r>
      <rPr>
        <sz val="10"/>
        <color indexed="8"/>
        <rFont val="宋体"/>
        <charset val="0"/>
      </rPr>
      <t>　　　</t>
    </r>
    <r>
      <rPr>
        <sz val="10"/>
        <color indexed="8"/>
        <rFont val="Calibri"/>
        <charset val="0"/>
      </rPr>
      <t>203001</t>
    </r>
  </si>
  <si>
    <r>
      <rPr>
        <sz val="10"/>
        <color indexed="8"/>
        <rFont val="宋体"/>
        <charset val="0"/>
      </rPr>
      <t>　　　黄石经济技术开发区</t>
    </r>
    <r>
      <rPr>
        <sz val="10"/>
        <color indexed="8"/>
        <rFont val="Calibri"/>
        <charset val="0"/>
      </rPr>
      <t>·</t>
    </r>
    <r>
      <rPr>
        <sz val="10"/>
        <color indexed="8"/>
        <rFont val="宋体"/>
        <charset val="0"/>
      </rPr>
      <t>铁山区残疾人联合会本级</t>
    </r>
  </si>
  <si>
    <t>2081101</t>
  </si>
  <si>
    <r>
      <rPr>
        <sz val="10"/>
        <color indexed="8"/>
        <rFont val="宋体"/>
        <charset val="0"/>
      </rPr>
      <t>黄石经济技术开发区</t>
    </r>
    <r>
      <rPr>
        <sz val="10"/>
        <color indexed="8"/>
        <rFont val="Calibri"/>
        <charset val="0"/>
      </rPr>
      <t>·</t>
    </r>
    <r>
      <rPr>
        <sz val="10"/>
        <color indexed="8"/>
        <rFont val="宋体"/>
        <charset val="0"/>
      </rPr>
      <t>铁山区残疾人联合会本级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</si>
  <si>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铁山区残疾人联合会本级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</si>
  <si>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铁山区残疾人联合会本级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</si>
  <si>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铁山区残疾人联合会本级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</si>
  <si>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铁山区残疾人联合会本级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</si>
  <si>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铁山区残疾人联合会本级</t>
    </r>
    <r>
      <rPr>
        <sz val="10"/>
        <color indexed="8"/>
        <rFont val="Calibri"/>
        <charset val="0"/>
      </rPr>
      <t>_</t>
    </r>
    <r>
      <rPr>
        <sz val="10"/>
        <color indexed="8"/>
        <rFont val="宋体"/>
        <charset val="0"/>
      </rPr>
      <t>工资福利支出</t>
    </r>
  </si>
  <si>
    <r>
      <rPr>
        <b/>
        <sz val="10"/>
        <color indexed="8"/>
        <rFont val="宋体"/>
        <charset val="0"/>
      </rPr>
      <t>　　</t>
    </r>
    <r>
      <rPr>
        <b/>
        <sz val="10"/>
        <color indexed="8"/>
        <rFont val="Calibri"/>
        <charset val="0"/>
      </rPr>
      <t>204001</t>
    </r>
  </si>
  <si>
    <r>
      <rPr>
        <b/>
        <sz val="10"/>
        <color indexed="8"/>
        <rFont val="宋体"/>
        <charset val="0"/>
      </rPr>
      <t>　　黄石经济技术开发区</t>
    </r>
    <r>
      <rPr>
        <b/>
        <sz val="10"/>
        <color indexed="8"/>
        <rFont val="Calibri"/>
        <charset val="0"/>
      </rPr>
      <t>·</t>
    </r>
    <r>
      <rPr>
        <b/>
        <sz val="10"/>
        <color indexed="8"/>
        <rFont val="宋体"/>
        <charset val="0"/>
      </rPr>
      <t>铁山区退役军人事务局本级</t>
    </r>
  </si>
  <si>
    <r>
      <rPr>
        <sz val="10"/>
        <color indexed="8"/>
        <rFont val="宋体"/>
        <charset val="0"/>
      </rPr>
      <t>　　　</t>
    </r>
    <r>
      <rPr>
        <sz val="10"/>
        <color indexed="8"/>
        <rFont val="Calibri"/>
        <charset val="0"/>
      </rPr>
      <t>204001</t>
    </r>
  </si>
  <si>
    <r>
      <rPr>
        <sz val="10"/>
        <color indexed="8"/>
        <rFont val="宋体"/>
        <charset val="0"/>
      </rPr>
      <t>　　　黄石经济技术开发区</t>
    </r>
    <r>
      <rPr>
        <sz val="10"/>
        <color indexed="8"/>
        <rFont val="Calibri"/>
        <charset val="0"/>
      </rPr>
      <t>·</t>
    </r>
    <r>
      <rPr>
        <sz val="10"/>
        <color indexed="8"/>
        <rFont val="宋体"/>
        <charset val="0"/>
      </rPr>
      <t>铁山区退役军人事务局本级</t>
    </r>
  </si>
  <si>
    <t>2082801</t>
  </si>
  <si>
    <r>
      <rPr>
        <sz val="10"/>
        <color indexed="8"/>
        <rFont val="宋体"/>
        <charset val="0"/>
      </rPr>
      <t>黄石经济技术开发区</t>
    </r>
    <r>
      <rPr>
        <sz val="10"/>
        <color indexed="8"/>
        <rFont val="Calibri"/>
        <charset val="0"/>
      </rPr>
      <t>·</t>
    </r>
    <r>
      <rPr>
        <sz val="10"/>
        <color indexed="8"/>
        <rFont val="宋体"/>
        <charset val="0"/>
      </rPr>
      <t>铁山区退役军人事务局本级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</si>
  <si>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铁山区退役军人事务局本级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</si>
  <si>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铁山区退役军人事务局本级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</si>
  <si>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铁山区退役军人事务局本级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</si>
  <si>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铁山区退役军人事务局本级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</si>
  <si>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铁山区退役军人事务局本级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</si>
  <si>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铁山区退役军人事务局本级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</si>
  <si>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铁山区退役军人事务局本级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</si>
  <si>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铁山区退役军人事务局本级</t>
    </r>
    <r>
      <rPr>
        <sz val="10"/>
        <color indexed="8"/>
        <rFont val="Calibri"/>
        <charset val="0"/>
      </rPr>
      <t>_</t>
    </r>
    <r>
      <rPr>
        <sz val="10"/>
        <color indexed="8"/>
        <rFont val="宋体"/>
        <charset val="0"/>
      </rPr>
      <t>职工福利费</t>
    </r>
  </si>
  <si>
    <r>
      <rPr>
        <b/>
        <sz val="10"/>
        <color indexed="8"/>
        <rFont val="宋体"/>
        <charset val="0"/>
      </rPr>
      <t>　　</t>
    </r>
    <r>
      <rPr>
        <b/>
        <sz val="10"/>
        <color indexed="8"/>
        <rFont val="Calibri"/>
        <charset val="0"/>
      </rPr>
      <t>205001</t>
    </r>
  </si>
  <si>
    <r>
      <rPr>
        <b/>
        <sz val="10"/>
        <color indexed="8"/>
        <rFont val="宋体"/>
        <charset val="0"/>
      </rPr>
      <t>　　黄石经济技术开发区</t>
    </r>
    <r>
      <rPr>
        <b/>
        <sz val="10"/>
        <color indexed="8"/>
        <rFont val="Calibri"/>
        <charset val="0"/>
      </rPr>
      <t>·</t>
    </r>
    <r>
      <rPr>
        <b/>
        <sz val="10"/>
        <color indexed="8"/>
        <rFont val="宋体"/>
        <charset val="0"/>
      </rPr>
      <t>铁山区卫生健康局本级</t>
    </r>
  </si>
  <si>
    <r>
      <rPr>
        <sz val="10"/>
        <color indexed="8"/>
        <rFont val="宋体"/>
        <charset val="0"/>
      </rPr>
      <t>　　　</t>
    </r>
    <r>
      <rPr>
        <sz val="10"/>
        <color indexed="8"/>
        <rFont val="Calibri"/>
        <charset val="0"/>
      </rPr>
      <t>205001</t>
    </r>
  </si>
  <si>
    <r>
      <rPr>
        <sz val="10"/>
        <color indexed="8"/>
        <rFont val="宋体"/>
        <charset val="0"/>
      </rPr>
      <t>　　　黄石经济技术开发区</t>
    </r>
    <r>
      <rPr>
        <sz val="10"/>
        <color indexed="8"/>
        <rFont val="Calibri"/>
        <charset val="0"/>
      </rPr>
      <t>·</t>
    </r>
    <r>
      <rPr>
        <sz val="10"/>
        <color indexed="8"/>
        <rFont val="宋体"/>
        <charset val="0"/>
      </rPr>
      <t>铁山区卫生健康局本级</t>
    </r>
  </si>
  <si>
    <t>2100101</t>
  </si>
  <si>
    <r>
      <rPr>
        <sz val="10"/>
        <color indexed="8"/>
        <rFont val="宋体"/>
        <charset val="0"/>
      </rPr>
      <t>黄石经济技术开发区</t>
    </r>
    <r>
      <rPr>
        <sz val="10"/>
        <color indexed="8"/>
        <rFont val="Calibri"/>
        <charset val="0"/>
      </rPr>
      <t>·</t>
    </r>
    <r>
      <rPr>
        <sz val="10"/>
        <color indexed="8"/>
        <rFont val="宋体"/>
        <charset val="0"/>
      </rPr>
      <t>铁山区卫生健康局本级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</si>
  <si>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铁山区卫生健康局本级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</si>
  <si>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铁山区卫生健康局本级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</si>
  <si>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铁山区卫生健康局本级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</si>
  <si>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铁山区卫生健康局本级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</si>
  <si>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铁山区卫生健康局本级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</si>
  <si>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铁山区卫生健康局本级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</si>
  <si>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铁山区卫生健康局本级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</si>
  <si>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铁山区卫生健康局本级</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</si>
  <si>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205002</t>
    </r>
  </si>
  <si>
    <r>
      <rPr>
        <sz val="10"/>
        <color indexed="8"/>
        <rFont val="宋体"/>
        <charset val="0"/>
      </rPr>
      <t>　　　</t>
    </r>
    <r>
      <rPr>
        <sz val="10"/>
        <color indexed="8"/>
        <rFont val="Calibri"/>
        <charset val="0"/>
      </rPr>
      <t>205002</t>
    </r>
  </si>
  <si>
    <t>　　　大冶市汪仁中心卫生院</t>
  </si>
  <si>
    <t>2100302</t>
  </si>
  <si>
    <t>乡镇卫生院</t>
  </si>
  <si>
    <r>
      <rPr>
        <sz val="10"/>
        <color indexed="8"/>
        <rFont val="宋体"/>
        <charset val="0"/>
      </rPr>
      <t>大冶市汪仁中心卫生院</t>
    </r>
    <r>
      <rPr>
        <sz val="10"/>
        <color indexed="8"/>
        <rFont val="Calibri"/>
        <charset val="0"/>
      </rPr>
      <t>_</t>
    </r>
    <r>
      <rPr>
        <sz val="10"/>
        <color indexed="8"/>
        <rFont val="宋体"/>
        <charset val="0"/>
      </rPr>
      <t>在职人员公用经费</t>
    </r>
  </si>
  <si>
    <r>
      <rPr>
        <sz val="10"/>
        <color indexed="8"/>
        <rFont val="宋体"/>
        <charset val="0"/>
      </rPr>
      <t>大冶市汪仁中心卫生院</t>
    </r>
    <r>
      <rPr>
        <sz val="10"/>
        <color indexed="8"/>
        <rFont val="Calibri"/>
        <charset val="0"/>
      </rPr>
      <t>_</t>
    </r>
    <r>
      <rPr>
        <sz val="10"/>
        <color indexed="8"/>
        <rFont val="宋体"/>
        <charset val="0"/>
      </rPr>
      <t>住房公积金</t>
    </r>
  </si>
  <si>
    <r>
      <rPr>
        <sz val="10"/>
        <color indexed="8"/>
        <rFont val="宋体"/>
        <charset val="0"/>
      </rPr>
      <t>大冶市汪仁中心卫生院</t>
    </r>
    <r>
      <rPr>
        <sz val="10"/>
        <color indexed="8"/>
        <rFont val="Calibri"/>
        <charset val="0"/>
      </rPr>
      <t>_</t>
    </r>
    <r>
      <rPr>
        <sz val="10"/>
        <color indexed="8"/>
        <rFont val="宋体"/>
        <charset val="0"/>
      </rPr>
      <t>职工福利费</t>
    </r>
  </si>
  <si>
    <r>
      <rPr>
        <sz val="10"/>
        <color indexed="8"/>
        <rFont val="宋体"/>
        <charset val="0"/>
      </rPr>
      <t>大冶市汪仁中心卫生院</t>
    </r>
    <r>
      <rPr>
        <sz val="10"/>
        <color indexed="8"/>
        <rFont val="Calibri"/>
        <charset val="0"/>
      </rPr>
      <t>_</t>
    </r>
    <r>
      <rPr>
        <sz val="10"/>
        <color indexed="8"/>
        <rFont val="宋体"/>
        <charset val="0"/>
      </rPr>
      <t>其他对个人和家庭的补助</t>
    </r>
  </si>
  <si>
    <r>
      <rPr>
        <sz val="10"/>
        <color indexed="8"/>
        <rFont val="宋体"/>
        <charset val="0"/>
      </rPr>
      <t>大冶市汪仁中心卫生院</t>
    </r>
    <r>
      <rPr>
        <sz val="10"/>
        <color indexed="8"/>
        <rFont val="Calibri"/>
        <charset val="0"/>
      </rPr>
      <t>_</t>
    </r>
    <r>
      <rPr>
        <sz val="10"/>
        <color indexed="8"/>
        <rFont val="宋体"/>
        <charset val="0"/>
      </rPr>
      <t>社会保障缴费</t>
    </r>
  </si>
  <si>
    <r>
      <rPr>
        <sz val="10"/>
        <color indexed="8"/>
        <rFont val="宋体"/>
        <charset val="0"/>
      </rPr>
      <t>大冶市汪仁中心卫生院</t>
    </r>
    <r>
      <rPr>
        <sz val="10"/>
        <color indexed="8"/>
        <rFont val="Calibri"/>
        <charset val="0"/>
      </rPr>
      <t>_</t>
    </r>
    <r>
      <rPr>
        <sz val="10"/>
        <color indexed="8"/>
        <rFont val="宋体"/>
        <charset val="0"/>
      </rPr>
      <t>工资福利支出</t>
    </r>
  </si>
  <si>
    <r>
      <rPr>
        <b/>
        <sz val="10"/>
        <color indexed="8"/>
        <rFont val="宋体"/>
        <charset val="0"/>
      </rPr>
      <t>　　</t>
    </r>
    <r>
      <rPr>
        <b/>
        <sz val="10"/>
        <color indexed="8"/>
        <rFont val="Calibri"/>
        <charset val="0"/>
      </rPr>
      <t>205003</t>
    </r>
  </si>
  <si>
    <r>
      <rPr>
        <sz val="10"/>
        <color indexed="8"/>
        <rFont val="宋体"/>
        <charset val="0"/>
      </rPr>
      <t>　　　</t>
    </r>
    <r>
      <rPr>
        <sz val="10"/>
        <color indexed="8"/>
        <rFont val="Calibri"/>
        <charset val="0"/>
      </rPr>
      <t>205003</t>
    </r>
  </si>
  <si>
    <t>　　　大冶市四棵卫生院</t>
  </si>
  <si>
    <r>
      <rPr>
        <sz val="10"/>
        <color indexed="8"/>
        <rFont val="宋体"/>
        <charset val="0"/>
      </rPr>
      <t>大冶市四棵卫生院</t>
    </r>
    <r>
      <rPr>
        <sz val="10"/>
        <color indexed="8"/>
        <rFont val="Calibri"/>
        <charset val="0"/>
      </rPr>
      <t>_</t>
    </r>
    <r>
      <rPr>
        <sz val="10"/>
        <color indexed="8"/>
        <rFont val="宋体"/>
        <charset val="0"/>
      </rPr>
      <t>社会保障缴费</t>
    </r>
  </si>
  <si>
    <r>
      <rPr>
        <sz val="10"/>
        <color indexed="8"/>
        <rFont val="宋体"/>
        <charset val="0"/>
      </rPr>
      <t>大冶市四棵卫生院</t>
    </r>
    <r>
      <rPr>
        <sz val="10"/>
        <color indexed="8"/>
        <rFont val="Calibri"/>
        <charset val="0"/>
      </rPr>
      <t>_</t>
    </r>
    <r>
      <rPr>
        <sz val="10"/>
        <color indexed="8"/>
        <rFont val="宋体"/>
        <charset val="0"/>
      </rPr>
      <t>工资福利支出</t>
    </r>
  </si>
  <si>
    <r>
      <rPr>
        <sz val="10"/>
        <color indexed="8"/>
        <rFont val="宋体"/>
        <charset val="0"/>
      </rPr>
      <t>大冶市四棵卫生院</t>
    </r>
    <r>
      <rPr>
        <sz val="10"/>
        <color indexed="8"/>
        <rFont val="Calibri"/>
        <charset val="0"/>
      </rPr>
      <t>_</t>
    </r>
    <r>
      <rPr>
        <sz val="10"/>
        <color indexed="8"/>
        <rFont val="宋体"/>
        <charset val="0"/>
      </rPr>
      <t>职工福利费</t>
    </r>
  </si>
  <si>
    <r>
      <rPr>
        <sz val="10"/>
        <color indexed="8"/>
        <rFont val="宋体"/>
        <charset val="0"/>
      </rPr>
      <t>大冶市四棵卫生院</t>
    </r>
    <r>
      <rPr>
        <sz val="10"/>
        <color indexed="8"/>
        <rFont val="Calibri"/>
        <charset val="0"/>
      </rPr>
      <t>_</t>
    </r>
    <r>
      <rPr>
        <sz val="10"/>
        <color indexed="8"/>
        <rFont val="宋体"/>
        <charset val="0"/>
      </rPr>
      <t>其他对个人和家庭的补助</t>
    </r>
  </si>
  <si>
    <r>
      <rPr>
        <sz val="10"/>
        <color indexed="8"/>
        <rFont val="宋体"/>
        <charset val="0"/>
      </rPr>
      <t>大冶市四棵卫生院</t>
    </r>
    <r>
      <rPr>
        <sz val="10"/>
        <color indexed="8"/>
        <rFont val="Calibri"/>
        <charset val="0"/>
      </rPr>
      <t>_</t>
    </r>
    <r>
      <rPr>
        <sz val="10"/>
        <color indexed="8"/>
        <rFont val="宋体"/>
        <charset val="0"/>
      </rPr>
      <t>在职人员公用经费</t>
    </r>
  </si>
  <si>
    <r>
      <rPr>
        <sz val="10"/>
        <color indexed="8"/>
        <rFont val="宋体"/>
        <charset val="0"/>
      </rPr>
      <t>大冶市四棵卫生院</t>
    </r>
    <r>
      <rPr>
        <sz val="10"/>
        <color indexed="8"/>
        <rFont val="Calibri"/>
        <charset val="0"/>
      </rPr>
      <t>_</t>
    </r>
    <r>
      <rPr>
        <sz val="10"/>
        <color indexed="8"/>
        <rFont val="宋体"/>
        <charset val="0"/>
      </rPr>
      <t>住房公积金</t>
    </r>
  </si>
  <si>
    <r>
      <rPr>
        <b/>
        <sz val="10"/>
        <color indexed="8"/>
        <rFont val="宋体"/>
        <charset val="0"/>
      </rPr>
      <t>　　</t>
    </r>
    <r>
      <rPr>
        <b/>
        <sz val="10"/>
        <color indexed="8"/>
        <rFont val="Calibri"/>
        <charset val="0"/>
      </rPr>
      <t>205004</t>
    </r>
  </si>
  <si>
    <r>
      <rPr>
        <sz val="10"/>
        <color indexed="8"/>
        <rFont val="宋体"/>
        <charset val="0"/>
      </rPr>
      <t>　　　</t>
    </r>
    <r>
      <rPr>
        <sz val="10"/>
        <color indexed="8"/>
        <rFont val="Calibri"/>
        <charset val="0"/>
      </rPr>
      <t>205004</t>
    </r>
  </si>
  <si>
    <t>　　　阳新县大王镇卫生院</t>
  </si>
  <si>
    <r>
      <rPr>
        <sz val="10"/>
        <color indexed="8"/>
        <rFont val="宋体"/>
        <charset val="0"/>
      </rPr>
      <t>阳新县大王镇卫生院</t>
    </r>
    <r>
      <rPr>
        <sz val="10"/>
        <color indexed="8"/>
        <rFont val="Calibri"/>
        <charset val="0"/>
      </rPr>
      <t>_</t>
    </r>
    <r>
      <rPr>
        <sz val="10"/>
        <color indexed="8"/>
        <rFont val="宋体"/>
        <charset val="0"/>
      </rPr>
      <t>其他对个人和家庭的补助</t>
    </r>
  </si>
  <si>
    <r>
      <rPr>
        <sz val="10"/>
        <color indexed="8"/>
        <rFont val="宋体"/>
        <charset val="0"/>
      </rPr>
      <t>阳新县大王镇卫生院</t>
    </r>
    <r>
      <rPr>
        <sz val="10"/>
        <color indexed="8"/>
        <rFont val="Calibri"/>
        <charset val="0"/>
      </rPr>
      <t>_</t>
    </r>
    <r>
      <rPr>
        <sz val="10"/>
        <color indexed="8"/>
        <rFont val="宋体"/>
        <charset val="0"/>
      </rPr>
      <t>住房公积金</t>
    </r>
  </si>
  <si>
    <r>
      <rPr>
        <sz val="10"/>
        <color indexed="8"/>
        <rFont val="宋体"/>
        <charset val="0"/>
      </rPr>
      <t>阳新县大王镇卫生院</t>
    </r>
    <r>
      <rPr>
        <sz val="10"/>
        <color indexed="8"/>
        <rFont val="Calibri"/>
        <charset val="0"/>
      </rPr>
      <t>_</t>
    </r>
    <r>
      <rPr>
        <sz val="10"/>
        <color indexed="8"/>
        <rFont val="宋体"/>
        <charset val="0"/>
      </rPr>
      <t>在职人员公用经费</t>
    </r>
  </si>
  <si>
    <r>
      <rPr>
        <sz val="10"/>
        <color indexed="8"/>
        <rFont val="宋体"/>
        <charset val="0"/>
      </rPr>
      <t>阳新县大王镇卫生院</t>
    </r>
    <r>
      <rPr>
        <sz val="10"/>
        <color indexed="8"/>
        <rFont val="Calibri"/>
        <charset val="0"/>
      </rPr>
      <t>_</t>
    </r>
    <r>
      <rPr>
        <sz val="10"/>
        <color indexed="8"/>
        <rFont val="宋体"/>
        <charset val="0"/>
      </rPr>
      <t>社会保障缴费</t>
    </r>
  </si>
  <si>
    <r>
      <rPr>
        <sz val="10"/>
        <color indexed="8"/>
        <rFont val="宋体"/>
        <charset val="0"/>
      </rPr>
      <t>阳新县大王镇卫生院</t>
    </r>
    <r>
      <rPr>
        <sz val="10"/>
        <color indexed="8"/>
        <rFont val="Calibri"/>
        <charset val="0"/>
      </rPr>
      <t>_</t>
    </r>
    <r>
      <rPr>
        <sz val="10"/>
        <color indexed="8"/>
        <rFont val="宋体"/>
        <charset val="0"/>
      </rPr>
      <t>职工福利费</t>
    </r>
  </si>
  <si>
    <r>
      <rPr>
        <sz val="10"/>
        <color indexed="8"/>
        <rFont val="宋体"/>
        <charset val="0"/>
      </rPr>
      <t>阳新县大王镇卫生院</t>
    </r>
    <r>
      <rPr>
        <sz val="10"/>
        <color indexed="8"/>
        <rFont val="Calibri"/>
        <charset val="0"/>
      </rPr>
      <t>_</t>
    </r>
    <r>
      <rPr>
        <sz val="10"/>
        <color indexed="8"/>
        <rFont val="宋体"/>
        <charset val="0"/>
      </rPr>
      <t>工资福利支出</t>
    </r>
  </si>
  <si>
    <r>
      <rPr>
        <b/>
        <sz val="10"/>
        <color indexed="8"/>
        <rFont val="宋体"/>
        <charset val="0"/>
      </rPr>
      <t>　　</t>
    </r>
    <r>
      <rPr>
        <b/>
        <sz val="10"/>
        <color indexed="8"/>
        <rFont val="Calibri"/>
        <charset val="0"/>
      </rPr>
      <t>205005</t>
    </r>
  </si>
  <si>
    <r>
      <rPr>
        <sz val="10"/>
        <color indexed="8"/>
        <rFont val="宋体"/>
        <charset val="0"/>
      </rPr>
      <t>　　　</t>
    </r>
    <r>
      <rPr>
        <sz val="10"/>
        <color indexed="8"/>
        <rFont val="Calibri"/>
        <charset val="0"/>
      </rPr>
      <t>205005</t>
    </r>
  </si>
  <si>
    <t>　　　阳新县太子镇卫生院</t>
  </si>
  <si>
    <r>
      <rPr>
        <sz val="10"/>
        <color indexed="8"/>
        <rFont val="宋体"/>
        <charset val="0"/>
      </rPr>
      <t>阳新县太子镇卫生院</t>
    </r>
    <r>
      <rPr>
        <sz val="10"/>
        <color indexed="8"/>
        <rFont val="Calibri"/>
        <charset val="0"/>
      </rPr>
      <t>_</t>
    </r>
    <r>
      <rPr>
        <sz val="10"/>
        <color indexed="8"/>
        <rFont val="宋体"/>
        <charset val="0"/>
      </rPr>
      <t>职工福利费</t>
    </r>
  </si>
  <si>
    <r>
      <rPr>
        <sz val="10"/>
        <color indexed="8"/>
        <rFont val="宋体"/>
        <charset val="0"/>
      </rPr>
      <t>阳新县太子镇卫生院</t>
    </r>
    <r>
      <rPr>
        <sz val="10"/>
        <color indexed="8"/>
        <rFont val="Calibri"/>
        <charset val="0"/>
      </rPr>
      <t>_</t>
    </r>
    <r>
      <rPr>
        <sz val="10"/>
        <color indexed="8"/>
        <rFont val="宋体"/>
        <charset val="0"/>
      </rPr>
      <t>在职人员公用经费</t>
    </r>
  </si>
  <si>
    <r>
      <rPr>
        <sz val="10"/>
        <color indexed="8"/>
        <rFont val="宋体"/>
        <charset val="0"/>
      </rPr>
      <t>阳新县太子镇卫生院</t>
    </r>
    <r>
      <rPr>
        <sz val="10"/>
        <color indexed="8"/>
        <rFont val="Calibri"/>
        <charset val="0"/>
      </rPr>
      <t>_</t>
    </r>
    <r>
      <rPr>
        <sz val="10"/>
        <color indexed="8"/>
        <rFont val="宋体"/>
        <charset val="0"/>
      </rPr>
      <t>工资福利支出</t>
    </r>
  </si>
  <si>
    <r>
      <rPr>
        <sz val="10"/>
        <color indexed="8"/>
        <rFont val="宋体"/>
        <charset val="0"/>
      </rPr>
      <t>阳新县太子镇卫生院</t>
    </r>
    <r>
      <rPr>
        <sz val="10"/>
        <color indexed="8"/>
        <rFont val="Calibri"/>
        <charset val="0"/>
      </rPr>
      <t>_</t>
    </r>
    <r>
      <rPr>
        <sz val="10"/>
        <color indexed="8"/>
        <rFont val="宋体"/>
        <charset val="0"/>
      </rPr>
      <t>住房公积金</t>
    </r>
  </si>
  <si>
    <r>
      <rPr>
        <sz val="10"/>
        <color indexed="8"/>
        <rFont val="宋体"/>
        <charset val="0"/>
      </rPr>
      <t>阳新县太子镇卫生院</t>
    </r>
    <r>
      <rPr>
        <sz val="10"/>
        <color indexed="8"/>
        <rFont val="Calibri"/>
        <charset val="0"/>
      </rPr>
      <t>_</t>
    </r>
    <r>
      <rPr>
        <sz val="10"/>
        <color indexed="8"/>
        <rFont val="宋体"/>
        <charset val="0"/>
      </rPr>
      <t>其他对个人和家庭的补助</t>
    </r>
  </si>
  <si>
    <r>
      <rPr>
        <sz val="10"/>
        <color indexed="8"/>
        <rFont val="宋体"/>
        <charset val="0"/>
      </rPr>
      <t>阳新县太子镇卫生院</t>
    </r>
    <r>
      <rPr>
        <sz val="10"/>
        <color indexed="8"/>
        <rFont val="Calibri"/>
        <charset val="0"/>
      </rPr>
      <t>_</t>
    </r>
    <r>
      <rPr>
        <sz val="10"/>
        <color indexed="8"/>
        <rFont val="宋体"/>
        <charset val="0"/>
      </rPr>
      <t>社会保障缴费</t>
    </r>
  </si>
  <si>
    <r>
      <rPr>
        <b/>
        <sz val="10"/>
        <color indexed="8"/>
        <rFont val="宋体"/>
        <charset val="0"/>
      </rPr>
      <t>　　</t>
    </r>
    <r>
      <rPr>
        <b/>
        <sz val="10"/>
        <color indexed="8"/>
        <rFont val="Calibri"/>
        <charset val="0"/>
      </rPr>
      <t>206001</t>
    </r>
  </si>
  <si>
    <r>
      <rPr>
        <b/>
        <sz val="10"/>
        <color indexed="8"/>
        <rFont val="宋体"/>
        <charset val="0"/>
      </rPr>
      <t>　　黄石经济技术开发区</t>
    </r>
    <r>
      <rPr>
        <b/>
        <sz val="10"/>
        <color indexed="8"/>
        <rFont val="Calibri"/>
        <charset val="0"/>
      </rPr>
      <t>·</t>
    </r>
    <r>
      <rPr>
        <b/>
        <sz val="10"/>
        <color indexed="8"/>
        <rFont val="宋体"/>
        <charset val="0"/>
      </rPr>
      <t>铁山区医疗保障局本级</t>
    </r>
  </si>
  <si>
    <r>
      <rPr>
        <sz val="10"/>
        <color indexed="8"/>
        <rFont val="宋体"/>
        <charset val="0"/>
      </rPr>
      <t>　　　</t>
    </r>
    <r>
      <rPr>
        <sz val="10"/>
        <color indexed="8"/>
        <rFont val="Calibri"/>
        <charset val="0"/>
      </rPr>
      <t>206001</t>
    </r>
  </si>
  <si>
    <r>
      <rPr>
        <sz val="10"/>
        <color indexed="8"/>
        <rFont val="宋体"/>
        <charset val="0"/>
      </rPr>
      <t>　　　黄石经济技术开发区</t>
    </r>
    <r>
      <rPr>
        <sz val="10"/>
        <color indexed="8"/>
        <rFont val="Calibri"/>
        <charset val="0"/>
      </rPr>
      <t>·</t>
    </r>
    <r>
      <rPr>
        <sz val="10"/>
        <color indexed="8"/>
        <rFont val="宋体"/>
        <charset val="0"/>
      </rPr>
      <t>铁山区医疗保障局本级</t>
    </r>
  </si>
  <si>
    <t>2101501</t>
  </si>
  <si>
    <r>
      <rPr>
        <sz val="10"/>
        <color indexed="8"/>
        <rFont val="宋体"/>
        <charset val="0"/>
      </rPr>
      <t>黄石经济技术开发区</t>
    </r>
    <r>
      <rPr>
        <sz val="10"/>
        <color indexed="8"/>
        <rFont val="Calibri"/>
        <charset val="0"/>
      </rPr>
      <t>·</t>
    </r>
    <r>
      <rPr>
        <sz val="10"/>
        <color indexed="8"/>
        <rFont val="宋体"/>
        <charset val="0"/>
      </rPr>
      <t>铁山区医疗保障局本级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</si>
  <si>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铁山区医疗保障局本级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</si>
  <si>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铁山区医疗保障局本级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</si>
  <si>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铁山区医疗保障局本级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</si>
  <si>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铁山区医疗保障局本级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</si>
  <si>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铁山区医疗保障局本级</t>
    </r>
    <r>
      <rPr>
        <sz val="10"/>
        <color indexed="8"/>
        <rFont val="Calibri"/>
        <charset val="0"/>
      </rPr>
      <t>_</t>
    </r>
    <r>
      <rPr>
        <sz val="10"/>
        <color indexed="8"/>
        <rFont val="宋体"/>
        <charset val="0"/>
      </rPr>
      <t>工资福利支出</t>
    </r>
  </si>
  <si>
    <r>
      <rPr>
        <b/>
        <sz val="10"/>
        <color indexed="8"/>
        <rFont val="宋体"/>
        <charset val="0"/>
      </rPr>
      <t>　　</t>
    </r>
    <r>
      <rPr>
        <b/>
        <sz val="10"/>
        <color indexed="8"/>
        <rFont val="Calibri"/>
        <charset val="0"/>
      </rPr>
      <t>301001</t>
    </r>
  </si>
  <si>
    <r>
      <rPr>
        <b/>
        <sz val="10"/>
        <color indexed="8"/>
        <rFont val="宋体"/>
        <charset val="0"/>
      </rPr>
      <t>　　黄石经济技术开发区</t>
    </r>
    <r>
      <rPr>
        <b/>
        <sz val="10"/>
        <color indexed="8"/>
        <rFont val="Calibri"/>
        <charset val="0"/>
      </rPr>
      <t>·</t>
    </r>
    <r>
      <rPr>
        <b/>
        <sz val="10"/>
        <color indexed="8"/>
        <rFont val="宋体"/>
        <charset val="0"/>
      </rPr>
      <t>铁山区教育局本级</t>
    </r>
  </si>
  <si>
    <r>
      <rPr>
        <sz val="10"/>
        <color indexed="8"/>
        <rFont val="宋体"/>
        <charset val="0"/>
      </rPr>
      <t>　　　</t>
    </r>
    <r>
      <rPr>
        <sz val="10"/>
        <color indexed="8"/>
        <rFont val="Calibri"/>
        <charset val="0"/>
      </rPr>
      <t>301001</t>
    </r>
  </si>
  <si>
    <r>
      <rPr>
        <sz val="10"/>
        <color indexed="8"/>
        <rFont val="宋体"/>
        <charset val="0"/>
      </rPr>
      <t>　　　黄石经济技术开发区</t>
    </r>
    <r>
      <rPr>
        <sz val="10"/>
        <color indexed="8"/>
        <rFont val="Calibri"/>
        <charset val="0"/>
      </rPr>
      <t>·</t>
    </r>
    <r>
      <rPr>
        <sz val="10"/>
        <color indexed="8"/>
        <rFont val="宋体"/>
        <charset val="0"/>
      </rPr>
      <t>铁山区教育局本级</t>
    </r>
  </si>
  <si>
    <t>2050101</t>
  </si>
  <si>
    <r>
      <rPr>
        <sz val="10"/>
        <color indexed="8"/>
        <rFont val="宋体"/>
        <charset val="0"/>
      </rPr>
      <t>黄石经济技术开发区</t>
    </r>
    <r>
      <rPr>
        <sz val="10"/>
        <color indexed="8"/>
        <rFont val="Calibri"/>
        <charset val="0"/>
      </rPr>
      <t>·</t>
    </r>
    <r>
      <rPr>
        <sz val="10"/>
        <color indexed="8"/>
        <rFont val="宋体"/>
        <charset val="0"/>
      </rPr>
      <t>铁山区教育局本级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</si>
  <si>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铁山区教育局本级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</si>
  <si>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铁山区教育局本级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</si>
  <si>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铁山区教育局本级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</si>
  <si>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铁山区教育局本级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</si>
  <si>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铁山区教育局本级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</si>
  <si>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铁山区教育局本级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</si>
  <si>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铁山区教育局本级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</si>
  <si>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铁山区教育局本级</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</si>
  <si>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301002</t>
    </r>
  </si>
  <si>
    <r>
      <rPr>
        <sz val="10"/>
        <color indexed="8"/>
        <rFont val="宋体"/>
        <charset val="0"/>
      </rPr>
      <t>　　　</t>
    </r>
    <r>
      <rPr>
        <sz val="10"/>
        <color indexed="8"/>
        <rFont val="Calibri"/>
        <charset val="0"/>
      </rPr>
      <t>301002</t>
    </r>
  </si>
  <si>
    <t>　　　大冶市东岳路街道办事处四棵初级中学</t>
  </si>
  <si>
    <t>2050203</t>
  </si>
  <si>
    <t>初中教育</t>
  </si>
  <si>
    <r>
      <rPr>
        <sz val="10"/>
        <color indexed="8"/>
        <rFont val="宋体"/>
        <charset val="0"/>
      </rPr>
      <t>大冶市东岳路街道办事处四棵初级中学</t>
    </r>
    <r>
      <rPr>
        <sz val="10"/>
        <color indexed="8"/>
        <rFont val="Calibri"/>
        <charset val="0"/>
      </rPr>
      <t>_</t>
    </r>
    <r>
      <rPr>
        <sz val="10"/>
        <color indexed="8"/>
        <rFont val="宋体"/>
        <charset val="0"/>
      </rPr>
      <t>工资福利支出</t>
    </r>
  </si>
  <si>
    <r>
      <rPr>
        <sz val="10"/>
        <color indexed="8"/>
        <rFont val="宋体"/>
        <charset val="0"/>
      </rPr>
      <t>大冶市东岳路街道办事处四棵初级中学</t>
    </r>
    <r>
      <rPr>
        <sz val="10"/>
        <color indexed="8"/>
        <rFont val="Calibri"/>
        <charset val="0"/>
      </rPr>
      <t>_</t>
    </r>
    <r>
      <rPr>
        <sz val="10"/>
        <color indexed="8"/>
        <rFont val="宋体"/>
        <charset val="0"/>
      </rPr>
      <t>离退休费</t>
    </r>
  </si>
  <si>
    <r>
      <rPr>
        <sz val="10"/>
        <color indexed="8"/>
        <rFont val="宋体"/>
        <charset val="0"/>
      </rPr>
      <t>大冶市东岳路街道办事处四棵初级中学</t>
    </r>
    <r>
      <rPr>
        <sz val="10"/>
        <color indexed="8"/>
        <rFont val="Calibri"/>
        <charset val="0"/>
      </rPr>
      <t>_</t>
    </r>
    <r>
      <rPr>
        <sz val="10"/>
        <color indexed="8"/>
        <rFont val="宋体"/>
        <charset val="0"/>
      </rPr>
      <t>社会保障缴费</t>
    </r>
  </si>
  <si>
    <r>
      <rPr>
        <sz val="10"/>
        <color indexed="8"/>
        <rFont val="宋体"/>
        <charset val="0"/>
      </rPr>
      <t>大冶市东岳路街道办事处四棵初级中学</t>
    </r>
    <r>
      <rPr>
        <sz val="10"/>
        <color indexed="8"/>
        <rFont val="Calibri"/>
        <charset val="0"/>
      </rPr>
      <t>_</t>
    </r>
    <r>
      <rPr>
        <sz val="10"/>
        <color indexed="8"/>
        <rFont val="宋体"/>
        <charset val="0"/>
      </rPr>
      <t>其他对个人和家庭的补助</t>
    </r>
  </si>
  <si>
    <r>
      <rPr>
        <sz val="10"/>
        <color indexed="8"/>
        <rFont val="宋体"/>
        <charset val="0"/>
      </rPr>
      <t>大冶市东岳路街道办事处四棵初级中学</t>
    </r>
    <r>
      <rPr>
        <sz val="10"/>
        <color indexed="8"/>
        <rFont val="Calibri"/>
        <charset val="0"/>
      </rPr>
      <t>_</t>
    </r>
    <r>
      <rPr>
        <sz val="10"/>
        <color indexed="8"/>
        <rFont val="宋体"/>
        <charset val="0"/>
      </rPr>
      <t>离退休人员公用经费</t>
    </r>
  </si>
  <si>
    <r>
      <rPr>
        <sz val="10"/>
        <color indexed="8"/>
        <rFont val="宋体"/>
        <charset val="0"/>
      </rPr>
      <t>大冶市东岳路街道办事处四棵初级中学</t>
    </r>
    <r>
      <rPr>
        <sz val="10"/>
        <color indexed="8"/>
        <rFont val="Calibri"/>
        <charset val="0"/>
      </rPr>
      <t>_</t>
    </r>
    <r>
      <rPr>
        <sz val="10"/>
        <color indexed="8"/>
        <rFont val="宋体"/>
        <charset val="0"/>
      </rPr>
      <t>职工福利费</t>
    </r>
  </si>
  <si>
    <r>
      <rPr>
        <sz val="10"/>
        <color indexed="8"/>
        <rFont val="宋体"/>
        <charset val="0"/>
      </rPr>
      <t>大冶市东岳路街道办事处四棵初级中学</t>
    </r>
    <r>
      <rPr>
        <sz val="10"/>
        <color indexed="8"/>
        <rFont val="Calibri"/>
        <charset val="0"/>
      </rPr>
      <t>_</t>
    </r>
    <r>
      <rPr>
        <sz val="10"/>
        <color indexed="8"/>
        <rFont val="宋体"/>
        <charset val="0"/>
      </rPr>
      <t>住房公积金</t>
    </r>
  </si>
  <si>
    <r>
      <rPr>
        <b/>
        <sz val="10"/>
        <color indexed="8"/>
        <rFont val="宋体"/>
        <charset val="0"/>
      </rPr>
      <t>　　</t>
    </r>
    <r>
      <rPr>
        <b/>
        <sz val="10"/>
        <color indexed="8"/>
        <rFont val="Calibri"/>
        <charset val="0"/>
      </rPr>
      <t>301003</t>
    </r>
  </si>
  <si>
    <r>
      <rPr>
        <sz val="10"/>
        <color indexed="8"/>
        <rFont val="宋体"/>
        <charset val="0"/>
      </rPr>
      <t>　　　</t>
    </r>
    <r>
      <rPr>
        <sz val="10"/>
        <color indexed="8"/>
        <rFont val="Calibri"/>
        <charset val="0"/>
      </rPr>
      <t>301003</t>
    </r>
  </si>
  <si>
    <t>　　　大冶市东岳路街道办事处鹏程初级中学</t>
  </si>
  <si>
    <r>
      <rPr>
        <sz val="10"/>
        <color indexed="8"/>
        <rFont val="宋体"/>
        <charset val="0"/>
      </rPr>
      <t>大冶市东岳路街道办事处鹏程初级中学</t>
    </r>
    <r>
      <rPr>
        <sz val="10"/>
        <color indexed="8"/>
        <rFont val="Calibri"/>
        <charset val="0"/>
      </rPr>
      <t>_</t>
    </r>
    <r>
      <rPr>
        <sz val="10"/>
        <color indexed="8"/>
        <rFont val="宋体"/>
        <charset val="0"/>
      </rPr>
      <t>职工福利费</t>
    </r>
  </si>
  <si>
    <r>
      <rPr>
        <sz val="10"/>
        <color indexed="8"/>
        <rFont val="宋体"/>
        <charset val="0"/>
      </rPr>
      <t>大冶市东岳路街道办事处鹏程初级中学</t>
    </r>
    <r>
      <rPr>
        <sz val="10"/>
        <color indexed="8"/>
        <rFont val="Calibri"/>
        <charset val="0"/>
      </rPr>
      <t>_</t>
    </r>
    <r>
      <rPr>
        <sz val="10"/>
        <color indexed="8"/>
        <rFont val="宋体"/>
        <charset val="0"/>
      </rPr>
      <t>离退休费</t>
    </r>
  </si>
  <si>
    <r>
      <rPr>
        <sz val="10"/>
        <color indexed="8"/>
        <rFont val="宋体"/>
        <charset val="0"/>
      </rPr>
      <t>大冶市东岳路街道办事处鹏程初级中学</t>
    </r>
    <r>
      <rPr>
        <sz val="10"/>
        <color indexed="8"/>
        <rFont val="Calibri"/>
        <charset val="0"/>
      </rPr>
      <t>_</t>
    </r>
    <r>
      <rPr>
        <sz val="10"/>
        <color indexed="8"/>
        <rFont val="宋体"/>
        <charset val="0"/>
      </rPr>
      <t>工资福利支出</t>
    </r>
  </si>
  <si>
    <r>
      <rPr>
        <sz val="10"/>
        <color indexed="8"/>
        <rFont val="宋体"/>
        <charset val="0"/>
      </rPr>
      <t>大冶市东岳路街道办事处鹏程初级中学</t>
    </r>
    <r>
      <rPr>
        <sz val="10"/>
        <color indexed="8"/>
        <rFont val="Calibri"/>
        <charset val="0"/>
      </rPr>
      <t>_</t>
    </r>
    <r>
      <rPr>
        <sz val="10"/>
        <color indexed="8"/>
        <rFont val="宋体"/>
        <charset val="0"/>
      </rPr>
      <t>社会保障缴费</t>
    </r>
  </si>
  <si>
    <r>
      <rPr>
        <sz val="10"/>
        <color indexed="8"/>
        <rFont val="宋体"/>
        <charset val="0"/>
      </rPr>
      <t>大冶市东岳路街道办事处鹏程初级中学</t>
    </r>
    <r>
      <rPr>
        <sz val="10"/>
        <color indexed="8"/>
        <rFont val="Calibri"/>
        <charset val="0"/>
      </rPr>
      <t>_</t>
    </r>
    <r>
      <rPr>
        <sz val="10"/>
        <color indexed="8"/>
        <rFont val="宋体"/>
        <charset val="0"/>
      </rPr>
      <t>住房公积金</t>
    </r>
  </si>
  <si>
    <r>
      <rPr>
        <sz val="10"/>
        <color indexed="8"/>
        <rFont val="宋体"/>
        <charset val="0"/>
      </rPr>
      <t>大冶市东岳路街道办事处鹏程初级中学</t>
    </r>
    <r>
      <rPr>
        <sz val="10"/>
        <color indexed="8"/>
        <rFont val="Calibri"/>
        <charset val="0"/>
      </rPr>
      <t>_</t>
    </r>
    <r>
      <rPr>
        <sz val="10"/>
        <color indexed="8"/>
        <rFont val="宋体"/>
        <charset val="0"/>
      </rPr>
      <t>其他对个人和家庭的补助</t>
    </r>
  </si>
  <si>
    <r>
      <rPr>
        <sz val="10"/>
        <color indexed="8"/>
        <rFont val="宋体"/>
        <charset val="0"/>
      </rPr>
      <t>大冶市东岳路街道办事处鹏程初级中学</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</si>
  <si>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301004</t>
    </r>
  </si>
  <si>
    <r>
      <rPr>
        <sz val="10"/>
        <color indexed="8"/>
        <rFont val="宋体"/>
        <charset val="0"/>
      </rPr>
      <t>　　　</t>
    </r>
    <r>
      <rPr>
        <sz val="10"/>
        <color indexed="8"/>
        <rFont val="Calibri"/>
        <charset val="0"/>
      </rPr>
      <t>301004</t>
    </r>
  </si>
  <si>
    <t>　　　大冶市汪仁镇初级中学</t>
  </si>
  <si>
    <r>
      <rPr>
        <sz val="10"/>
        <color indexed="8"/>
        <rFont val="宋体"/>
        <charset val="0"/>
      </rPr>
      <t>大冶市汪仁镇初级中学</t>
    </r>
    <r>
      <rPr>
        <sz val="10"/>
        <color indexed="8"/>
        <rFont val="Calibri"/>
        <charset val="0"/>
      </rPr>
      <t>_</t>
    </r>
    <r>
      <rPr>
        <sz val="10"/>
        <color indexed="8"/>
        <rFont val="宋体"/>
        <charset val="0"/>
      </rPr>
      <t>工资福利支出</t>
    </r>
  </si>
  <si>
    <r>
      <rPr>
        <sz val="10"/>
        <color indexed="8"/>
        <rFont val="宋体"/>
        <charset val="0"/>
      </rPr>
      <t>大冶市汪仁镇初级中学</t>
    </r>
    <r>
      <rPr>
        <sz val="10"/>
        <color indexed="8"/>
        <rFont val="Calibri"/>
        <charset val="0"/>
      </rPr>
      <t>_</t>
    </r>
    <r>
      <rPr>
        <sz val="10"/>
        <color indexed="8"/>
        <rFont val="宋体"/>
        <charset val="0"/>
      </rPr>
      <t>住房公积金</t>
    </r>
  </si>
  <si>
    <r>
      <rPr>
        <sz val="10"/>
        <color indexed="8"/>
        <rFont val="宋体"/>
        <charset val="0"/>
      </rPr>
      <t>大冶市汪仁镇初级中学</t>
    </r>
    <r>
      <rPr>
        <sz val="10"/>
        <color indexed="8"/>
        <rFont val="Calibri"/>
        <charset val="0"/>
      </rPr>
      <t>_</t>
    </r>
    <r>
      <rPr>
        <sz val="10"/>
        <color indexed="8"/>
        <rFont val="宋体"/>
        <charset val="0"/>
      </rPr>
      <t>其他对个人和家庭的补助</t>
    </r>
  </si>
  <si>
    <r>
      <rPr>
        <sz val="10"/>
        <color indexed="8"/>
        <rFont val="宋体"/>
        <charset val="0"/>
      </rPr>
      <t>大冶市汪仁镇初级中学</t>
    </r>
    <r>
      <rPr>
        <sz val="10"/>
        <color indexed="8"/>
        <rFont val="Calibri"/>
        <charset val="0"/>
      </rPr>
      <t>_</t>
    </r>
    <r>
      <rPr>
        <sz val="10"/>
        <color indexed="8"/>
        <rFont val="宋体"/>
        <charset val="0"/>
      </rPr>
      <t>离退休人员公用经费</t>
    </r>
  </si>
  <si>
    <r>
      <rPr>
        <sz val="10"/>
        <color indexed="8"/>
        <rFont val="宋体"/>
        <charset val="0"/>
      </rPr>
      <t>大冶市汪仁镇初级中学</t>
    </r>
    <r>
      <rPr>
        <sz val="10"/>
        <color indexed="8"/>
        <rFont val="Calibri"/>
        <charset val="0"/>
      </rPr>
      <t>_</t>
    </r>
    <r>
      <rPr>
        <sz val="10"/>
        <color indexed="8"/>
        <rFont val="宋体"/>
        <charset val="0"/>
      </rPr>
      <t>职工福利费</t>
    </r>
  </si>
  <si>
    <r>
      <rPr>
        <sz val="10"/>
        <color indexed="8"/>
        <rFont val="宋体"/>
        <charset val="0"/>
      </rPr>
      <t>大冶市汪仁镇初级中学</t>
    </r>
    <r>
      <rPr>
        <sz val="10"/>
        <color indexed="8"/>
        <rFont val="Calibri"/>
        <charset val="0"/>
      </rPr>
      <t>_</t>
    </r>
    <r>
      <rPr>
        <sz val="10"/>
        <color indexed="8"/>
        <rFont val="宋体"/>
        <charset val="0"/>
      </rPr>
      <t>社会保障缴费</t>
    </r>
  </si>
  <si>
    <r>
      <rPr>
        <sz val="10"/>
        <color indexed="8"/>
        <rFont val="宋体"/>
        <charset val="0"/>
      </rPr>
      <t>大冶市汪仁镇初级中学</t>
    </r>
    <r>
      <rPr>
        <sz val="10"/>
        <color indexed="8"/>
        <rFont val="Calibri"/>
        <charset val="0"/>
      </rPr>
      <t>_</t>
    </r>
    <r>
      <rPr>
        <sz val="10"/>
        <color indexed="8"/>
        <rFont val="宋体"/>
        <charset val="0"/>
      </rPr>
      <t>离退休费</t>
    </r>
  </si>
  <si>
    <r>
      <rPr>
        <b/>
        <sz val="10"/>
        <color indexed="8"/>
        <rFont val="宋体"/>
        <charset val="0"/>
      </rPr>
      <t>　　</t>
    </r>
    <r>
      <rPr>
        <b/>
        <sz val="10"/>
        <color indexed="8"/>
        <rFont val="Calibri"/>
        <charset val="0"/>
      </rPr>
      <t>301005</t>
    </r>
  </si>
  <si>
    <r>
      <rPr>
        <sz val="10"/>
        <color indexed="8"/>
        <rFont val="宋体"/>
        <charset val="0"/>
      </rPr>
      <t>　　　</t>
    </r>
    <r>
      <rPr>
        <sz val="10"/>
        <color indexed="8"/>
        <rFont val="Calibri"/>
        <charset val="0"/>
      </rPr>
      <t>301005</t>
    </r>
  </si>
  <si>
    <t>　　　黄石市河口中学</t>
  </si>
  <si>
    <r>
      <rPr>
        <sz val="10"/>
        <color indexed="8"/>
        <rFont val="宋体"/>
        <charset val="0"/>
      </rPr>
      <t>黄石市河口中学</t>
    </r>
    <r>
      <rPr>
        <sz val="10"/>
        <color indexed="8"/>
        <rFont val="Calibri"/>
        <charset val="0"/>
      </rPr>
      <t>_</t>
    </r>
    <r>
      <rPr>
        <sz val="10"/>
        <color indexed="8"/>
        <rFont val="宋体"/>
        <charset val="0"/>
      </rPr>
      <t>离退休费</t>
    </r>
  </si>
  <si>
    <r>
      <rPr>
        <sz val="10"/>
        <color indexed="8"/>
        <rFont val="宋体"/>
        <charset val="0"/>
      </rPr>
      <t>黄石市河口中学</t>
    </r>
    <r>
      <rPr>
        <sz val="10"/>
        <color indexed="8"/>
        <rFont val="Calibri"/>
        <charset val="0"/>
      </rPr>
      <t>_</t>
    </r>
    <r>
      <rPr>
        <sz val="10"/>
        <color indexed="8"/>
        <rFont val="宋体"/>
        <charset val="0"/>
      </rPr>
      <t>住房公积金</t>
    </r>
  </si>
  <si>
    <r>
      <rPr>
        <sz val="10"/>
        <color indexed="8"/>
        <rFont val="宋体"/>
        <charset val="0"/>
      </rPr>
      <t>黄石市河口中学</t>
    </r>
    <r>
      <rPr>
        <sz val="10"/>
        <color indexed="8"/>
        <rFont val="Calibri"/>
        <charset val="0"/>
      </rPr>
      <t>_</t>
    </r>
    <r>
      <rPr>
        <sz val="10"/>
        <color indexed="8"/>
        <rFont val="宋体"/>
        <charset val="0"/>
      </rPr>
      <t>其他对个人和家庭的补助</t>
    </r>
  </si>
  <si>
    <r>
      <rPr>
        <sz val="10"/>
        <color indexed="8"/>
        <rFont val="宋体"/>
        <charset val="0"/>
      </rPr>
      <t>黄石市河口中学</t>
    </r>
    <r>
      <rPr>
        <sz val="10"/>
        <color indexed="8"/>
        <rFont val="Calibri"/>
        <charset val="0"/>
      </rPr>
      <t>_</t>
    </r>
    <r>
      <rPr>
        <sz val="10"/>
        <color indexed="8"/>
        <rFont val="宋体"/>
        <charset val="0"/>
      </rPr>
      <t>社会保障缴费</t>
    </r>
  </si>
  <si>
    <r>
      <rPr>
        <sz val="10"/>
        <color indexed="8"/>
        <rFont val="宋体"/>
        <charset val="0"/>
      </rPr>
      <t>黄石市河口中学</t>
    </r>
    <r>
      <rPr>
        <sz val="10"/>
        <color indexed="8"/>
        <rFont val="Calibri"/>
        <charset val="0"/>
      </rPr>
      <t>_</t>
    </r>
    <r>
      <rPr>
        <sz val="10"/>
        <color indexed="8"/>
        <rFont val="宋体"/>
        <charset val="0"/>
      </rPr>
      <t>职工福利费</t>
    </r>
  </si>
  <si>
    <r>
      <rPr>
        <sz val="10"/>
        <color indexed="8"/>
        <rFont val="宋体"/>
        <charset val="0"/>
      </rPr>
      <t>黄石市河口中学</t>
    </r>
    <r>
      <rPr>
        <sz val="10"/>
        <color indexed="8"/>
        <rFont val="Calibri"/>
        <charset val="0"/>
      </rPr>
      <t>_</t>
    </r>
    <r>
      <rPr>
        <sz val="10"/>
        <color indexed="8"/>
        <rFont val="宋体"/>
        <charset val="0"/>
      </rPr>
      <t>离退休人员公用经费</t>
    </r>
  </si>
  <si>
    <r>
      <rPr>
        <sz val="10"/>
        <color indexed="8"/>
        <rFont val="宋体"/>
        <charset val="0"/>
      </rPr>
      <t>黄石市河口中学</t>
    </r>
    <r>
      <rPr>
        <sz val="10"/>
        <color indexed="8"/>
        <rFont val="Calibri"/>
        <charset val="0"/>
      </rPr>
      <t>_</t>
    </r>
    <r>
      <rPr>
        <sz val="10"/>
        <color indexed="8"/>
        <rFont val="宋体"/>
        <charset val="0"/>
      </rPr>
      <t>工资福利支出</t>
    </r>
  </si>
  <si>
    <r>
      <rPr>
        <b/>
        <sz val="10"/>
        <color indexed="8"/>
        <rFont val="宋体"/>
        <charset val="0"/>
      </rPr>
      <t>　　</t>
    </r>
    <r>
      <rPr>
        <b/>
        <sz val="10"/>
        <color indexed="8"/>
        <rFont val="Calibri"/>
        <charset val="0"/>
      </rPr>
      <t>301006</t>
    </r>
  </si>
  <si>
    <r>
      <rPr>
        <sz val="10"/>
        <color indexed="8"/>
        <rFont val="宋体"/>
        <charset val="0"/>
      </rPr>
      <t>　　　</t>
    </r>
    <r>
      <rPr>
        <sz val="10"/>
        <color indexed="8"/>
        <rFont val="Calibri"/>
        <charset val="0"/>
      </rPr>
      <t>301006</t>
    </r>
  </si>
  <si>
    <t>　　　阳新县大王镇大王初级中学</t>
  </si>
  <si>
    <r>
      <rPr>
        <sz val="10"/>
        <color indexed="8"/>
        <rFont val="宋体"/>
        <charset val="0"/>
      </rPr>
      <t>阳新县大王镇大王初级中学</t>
    </r>
    <r>
      <rPr>
        <sz val="10"/>
        <color indexed="8"/>
        <rFont val="Calibri"/>
        <charset val="0"/>
      </rPr>
      <t>_</t>
    </r>
    <r>
      <rPr>
        <sz val="10"/>
        <color indexed="8"/>
        <rFont val="宋体"/>
        <charset val="0"/>
      </rPr>
      <t>职工福利费</t>
    </r>
  </si>
  <si>
    <r>
      <rPr>
        <sz val="10"/>
        <color indexed="8"/>
        <rFont val="宋体"/>
        <charset val="0"/>
      </rPr>
      <t>阳新县大王镇大王初级中学</t>
    </r>
    <r>
      <rPr>
        <sz val="10"/>
        <color indexed="8"/>
        <rFont val="Calibri"/>
        <charset val="0"/>
      </rPr>
      <t>_</t>
    </r>
    <r>
      <rPr>
        <sz val="10"/>
        <color indexed="8"/>
        <rFont val="宋体"/>
        <charset val="0"/>
      </rPr>
      <t>离退休费</t>
    </r>
  </si>
  <si>
    <r>
      <rPr>
        <sz val="10"/>
        <color indexed="8"/>
        <rFont val="宋体"/>
        <charset val="0"/>
      </rPr>
      <t>阳新县大王镇大王初级中学</t>
    </r>
    <r>
      <rPr>
        <sz val="10"/>
        <color indexed="8"/>
        <rFont val="Calibri"/>
        <charset val="0"/>
      </rPr>
      <t>_</t>
    </r>
    <r>
      <rPr>
        <sz val="10"/>
        <color indexed="8"/>
        <rFont val="宋体"/>
        <charset val="0"/>
      </rPr>
      <t>工资福利支出</t>
    </r>
  </si>
  <si>
    <r>
      <rPr>
        <sz val="10"/>
        <color indexed="8"/>
        <rFont val="宋体"/>
        <charset val="0"/>
      </rPr>
      <t>阳新县大王镇大王初级中学</t>
    </r>
    <r>
      <rPr>
        <sz val="10"/>
        <color indexed="8"/>
        <rFont val="Calibri"/>
        <charset val="0"/>
      </rPr>
      <t>_</t>
    </r>
    <r>
      <rPr>
        <sz val="10"/>
        <color indexed="8"/>
        <rFont val="宋体"/>
        <charset val="0"/>
      </rPr>
      <t>其他对个人和家庭的补助</t>
    </r>
  </si>
  <si>
    <r>
      <rPr>
        <sz val="10"/>
        <color indexed="8"/>
        <rFont val="宋体"/>
        <charset val="0"/>
      </rPr>
      <t>阳新县大王镇大王初级中学</t>
    </r>
    <r>
      <rPr>
        <sz val="10"/>
        <color indexed="8"/>
        <rFont val="Calibri"/>
        <charset val="0"/>
      </rPr>
      <t>_</t>
    </r>
    <r>
      <rPr>
        <sz val="10"/>
        <color indexed="8"/>
        <rFont val="宋体"/>
        <charset val="0"/>
      </rPr>
      <t>住房公积金</t>
    </r>
  </si>
  <si>
    <r>
      <rPr>
        <sz val="10"/>
        <color indexed="8"/>
        <rFont val="宋体"/>
        <charset val="0"/>
      </rPr>
      <t>阳新县大王镇大王初级中学</t>
    </r>
    <r>
      <rPr>
        <sz val="10"/>
        <color indexed="8"/>
        <rFont val="Calibri"/>
        <charset val="0"/>
      </rPr>
      <t>_</t>
    </r>
    <r>
      <rPr>
        <sz val="10"/>
        <color indexed="8"/>
        <rFont val="宋体"/>
        <charset val="0"/>
      </rPr>
      <t>社会保障缴费</t>
    </r>
  </si>
  <si>
    <r>
      <rPr>
        <sz val="10"/>
        <color indexed="8"/>
        <rFont val="宋体"/>
        <charset val="0"/>
      </rPr>
      <t>阳新县大王镇大王初级中学</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</si>
  <si>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301007</t>
    </r>
  </si>
  <si>
    <r>
      <rPr>
        <sz val="10"/>
        <color indexed="8"/>
        <rFont val="宋体"/>
        <charset val="0"/>
      </rPr>
      <t>　　　</t>
    </r>
    <r>
      <rPr>
        <sz val="10"/>
        <color indexed="8"/>
        <rFont val="Calibri"/>
        <charset val="0"/>
      </rPr>
      <t>301007</t>
    </r>
  </si>
  <si>
    <t>　　　阳新县大王镇中庄初级中学</t>
  </si>
  <si>
    <r>
      <rPr>
        <sz val="10"/>
        <color indexed="8"/>
        <rFont val="宋体"/>
        <charset val="0"/>
      </rPr>
      <t>阳新县大王镇中庄初级中学</t>
    </r>
    <r>
      <rPr>
        <sz val="10"/>
        <color indexed="8"/>
        <rFont val="Calibri"/>
        <charset val="0"/>
      </rPr>
      <t>_</t>
    </r>
    <r>
      <rPr>
        <sz val="10"/>
        <color indexed="8"/>
        <rFont val="宋体"/>
        <charset val="0"/>
      </rPr>
      <t>工资福利支出</t>
    </r>
  </si>
  <si>
    <r>
      <rPr>
        <sz val="10"/>
        <color indexed="8"/>
        <rFont val="宋体"/>
        <charset val="0"/>
      </rPr>
      <t>阳新县大王镇中庄初级中学</t>
    </r>
    <r>
      <rPr>
        <sz val="10"/>
        <color indexed="8"/>
        <rFont val="Calibri"/>
        <charset val="0"/>
      </rPr>
      <t>_</t>
    </r>
    <r>
      <rPr>
        <sz val="10"/>
        <color indexed="8"/>
        <rFont val="宋体"/>
        <charset val="0"/>
      </rPr>
      <t>离退休人员公用经费</t>
    </r>
  </si>
  <si>
    <r>
      <rPr>
        <sz val="10"/>
        <color indexed="8"/>
        <rFont val="宋体"/>
        <charset val="0"/>
      </rPr>
      <t>阳新县大王镇中庄初级中学</t>
    </r>
    <r>
      <rPr>
        <sz val="10"/>
        <color indexed="8"/>
        <rFont val="Calibri"/>
        <charset val="0"/>
      </rPr>
      <t>_</t>
    </r>
    <r>
      <rPr>
        <sz val="10"/>
        <color indexed="8"/>
        <rFont val="宋体"/>
        <charset val="0"/>
      </rPr>
      <t>其他对个人和家庭的补助</t>
    </r>
  </si>
  <si>
    <r>
      <rPr>
        <sz val="10"/>
        <color indexed="8"/>
        <rFont val="宋体"/>
        <charset val="0"/>
      </rPr>
      <t>阳新县大王镇中庄初级中学</t>
    </r>
    <r>
      <rPr>
        <sz val="10"/>
        <color indexed="8"/>
        <rFont val="Calibri"/>
        <charset val="0"/>
      </rPr>
      <t>_</t>
    </r>
    <r>
      <rPr>
        <sz val="10"/>
        <color indexed="8"/>
        <rFont val="宋体"/>
        <charset val="0"/>
      </rPr>
      <t>离退休费</t>
    </r>
  </si>
  <si>
    <r>
      <rPr>
        <sz val="10"/>
        <color indexed="8"/>
        <rFont val="宋体"/>
        <charset val="0"/>
      </rPr>
      <t>阳新县大王镇中庄初级中学</t>
    </r>
    <r>
      <rPr>
        <sz val="10"/>
        <color indexed="8"/>
        <rFont val="Calibri"/>
        <charset val="0"/>
      </rPr>
      <t>_</t>
    </r>
    <r>
      <rPr>
        <sz val="10"/>
        <color indexed="8"/>
        <rFont val="宋体"/>
        <charset val="0"/>
      </rPr>
      <t>社会保障缴费</t>
    </r>
  </si>
  <si>
    <r>
      <rPr>
        <sz val="10"/>
        <color indexed="8"/>
        <rFont val="宋体"/>
        <charset val="0"/>
      </rPr>
      <t>阳新县大王镇中庄初级中学</t>
    </r>
    <r>
      <rPr>
        <sz val="10"/>
        <color indexed="8"/>
        <rFont val="Calibri"/>
        <charset val="0"/>
      </rPr>
      <t>_</t>
    </r>
    <r>
      <rPr>
        <sz val="10"/>
        <color indexed="8"/>
        <rFont val="宋体"/>
        <charset val="0"/>
      </rPr>
      <t>职工福利费</t>
    </r>
  </si>
  <si>
    <r>
      <rPr>
        <sz val="10"/>
        <color indexed="8"/>
        <rFont val="宋体"/>
        <charset val="0"/>
      </rPr>
      <t>阳新县大王镇中庄初级中学</t>
    </r>
    <r>
      <rPr>
        <sz val="10"/>
        <color indexed="8"/>
        <rFont val="Calibri"/>
        <charset val="0"/>
      </rPr>
      <t>_</t>
    </r>
    <r>
      <rPr>
        <sz val="10"/>
        <color indexed="8"/>
        <rFont val="宋体"/>
        <charset val="0"/>
      </rPr>
      <t>住房公积金</t>
    </r>
  </si>
  <si>
    <r>
      <rPr>
        <b/>
        <sz val="10"/>
        <color indexed="8"/>
        <rFont val="宋体"/>
        <charset val="0"/>
      </rPr>
      <t>　　</t>
    </r>
    <r>
      <rPr>
        <b/>
        <sz val="10"/>
        <color indexed="8"/>
        <rFont val="Calibri"/>
        <charset val="0"/>
      </rPr>
      <t>301008</t>
    </r>
  </si>
  <si>
    <r>
      <rPr>
        <sz val="10"/>
        <color indexed="8"/>
        <rFont val="宋体"/>
        <charset val="0"/>
      </rPr>
      <t>　　　</t>
    </r>
    <r>
      <rPr>
        <sz val="10"/>
        <color indexed="8"/>
        <rFont val="Calibri"/>
        <charset val="0"/>
      </rPr>
      <t>301008</t>
    </r>
  </si>
  <si>
    <t>　　　阳新县太子中学</t>
  </si>
  <si>
    <r>
      <rPr>
        <sz val="10"/>
        <color indexed="8"/>
        <rFont val="宋体"/>
        <charset val="0"/>
      </rPr>
      <t>阳新县太子中学</t>
    </r>
    <r>
      <rPr>
        <sz val="10"/>
        <color indexed="8"/>
        <rFont val="Calibri"/>
        <charset val="0"/>
      </rPr>
      <t>_</t>
    </r>
    <r>
      <rPr>
        <sz val="10"/>
        <color indexed="8"/>
        <rFont val="宋体"/>
        <charset val="0"/>
      </rPr>
      <t>工资福利支出</t>
    </r>
  </si>
  <si>
    <r>
      <rPr>
        <sz val="10"/>
        <color indexed="8"/>
        <rFont val="宋体"/>
        <charset val="0"/>
      </rPr>
      <t>阳新县太子中学</t>
    </r>
    <r>
      <rPr>
        <sz val="10"/>
        <color indexed="8"/>
        <rFont val="Calibri"/>
        <charset val="0"/>
      </rPr>
      <t>_</t>
    </r>
    <r>
      <rPr>
        <sz val="10"/>
        <color indexed="8"/>
        <rFont val="宋体"/>
        <charset val="0"/>
      </rPr>
      <t>社会保障缴费</t>
    </r>
  </si>
  <si>
    <r>
      <rPr>
        <sz val="10"/>
        <color indexed="8"/>
        <rFont val="宋体"/>
        <charset val="0"/>
      </rPr>
      <t>阳新县太子中学</t>
    </r>
    <r>
      <rPr>
        <sz val="10"/>
        <color indexed="8"/>
        <rFont val="Calibri"/>
        <charset val="0"/>
      </rPr>
      <t>_</t>
    </r>
    <r>
      <rPr>
        <sz val="10"/>
        <color indexed="8"/>
        <rFont val="宋体"/>
        <charset val="0"/>
      </rPr>
      <t>其他对个人和家庭的补助</t>
    </r>
  </si>
  <si>
    <r>
      <rPr>
        <sz val="10"/>
        <color indexed="8"/>
        <rFont val="宋体"/>
        <charset val="0"/>
      </rPr>
      <t>阳新县太子中学</t>
    </r>
    <r>
      <rPr>
        <sz val="10"/>
        <color indexed="8"/>
        <rFont val="Calibri"/>
        <charset val="0"/>
      </rPr>
      <t>_</t>
    </r>
    <r>
      <rPr>
        <sz val="10"/>
        <color indexed="8"/>
        <rFont val="宋体"/>
        <charset val="0"/>
      </rPr>
      <t>离退休费</t>
    </r>
  </si>
  <si>
    <r>
      <rPr>
        <sz val="10"/>
        <color indexed="8"/>
        <rFont val="宋体"/>
        <charset val="0"/>
      </rPr>
      <t>阳新县太子中学</t>
    </r>
    <r>
      <rPr>
        <sz val="10"/>
        <color indexed="8"/>
        <rFont val="Calibri"/>
        <charset val="0"/>
      </rPr>
      <t>_</t>
    </r>
    <r>
      <rPr>
        <sz val="10"/>
        <color indexed="8"/>
        <rFont val="宋体"/>
        <charset val="0"/>
      </rPr>
      <t>离退休人员公用经费</t>
    </r>
  </si>
  <si>
    <r>
      <rPr>
        <sz val="10"/>
        <color indexed="8"/>
        <rFont val="宋体"/>
        <charset val="0"/>
      </rPr>
      <t>阳新县太子中学</t>
    </r>
    <r>
      <rPr>
        <sz val="10"/>
        <color indexed="8"/>
        <rFont val="Calibri"/>
        <charset val="0"/>
      </rPr>
      <t>_</t>
    </r>
    <r>
      <rPr>
        <sz val="10"/>
        <color indexed="8"/>
        <rFont val="宋体"/>
        <charset val="0"/>
      </rPr>
      <t>住房公积金</t>
    </r>
  </si>
  <si>
    <r>
      <rPr>
        <sz val="10"/>
        <color indexed="8"/>
        <rFont val="宋体"/>
        <charset val="0"/>
      </rPr>
      <t>阳新县太子中学</t>
    </r>
    <r>
      <rPr>
        <sz val="10"/>
        <color indexed="8"/>
        <rFont val="Calibri"/>
        <charset val="0"/>
      </rPr>
      <t>_</t>
    </r>
    <r>
      <rPr>
        <sz val="10"/>
        <color indexed="8"/>
        <rFont val="宋体"/>
        <charset val="0"/>
      </rPr>
      <t>职工福利费</t>
    </r>
  </si>
  <si>
    <r>
      <rPr>
        <b/>
        <sz val="10"/>
        <color indexed="8"/>
        <rFont val="宋体"/>
        <charset val="0"/>
      </rPr>
      <t>　　</t>
    </r>
    <r>
      <rPr>
        <b/>
        <sz val="10"/>
        <color indexed="8"/>
        <rFont val="Calibri"/>
        <charset val="0"/>
      </rPr>
      <t>301009</t>
    </r>
  </si>
  <si>
    <r>
      <rPr>
        <sz val="10"/>
        <color indexed="8"/>
        <rFont val="宋体"/>
        <charset val="0"/>
      </rPr>
      <t>　　　</t>
    </r>
    <r>
      <rPr>
        <sz val="10"/>
        <color indexed="8"/>
        <rFont val="Calibri"/>
        <charset val="0"/>
      </rPr>
      <t>301009</t>
    </r>
  </si>
  <si>
    <t>　　　大冶市金山街道办事处中心学校</t>
  </si>
  <si>
    <t>2050202</t>
  </si>
  <si>
    <t>小学教育</t>
  </si>
  <si>
    <r>
      <rPr>
        <sz val="10"/>
        <color indexed="8"/>
        <rFont val="宋体"/>
        <charset val="0"/>
      </rPr>
      <t>大冶市金山街道办事处中心学校</t>
    </r>
    <r>
      <rPr>
        <sz val="10"/>
        <color indexed="8"/>
        <rFont val="Calibri"/>
        <charset val="0"/>
      </rPr>
      <t>_</t>
    </r>
    <r>
      <rPr>
        <sz val="10"/>
        <color indexed="8"/>
        <rFont val="宋体"/>
        <charset val="0"/>
      </rPr>
      <t>住房公积金</t>
    </r>
  </si>
  <si>
    <r>
      <rPr>
        <sz val="10"/>
        <color indexed="8"/>
        <rFont val="宋体"/>
        <charset val="0"/>
      </rPr>
      <t>大冶市金山街道办事处中心学校</t>
    </r>
    <r>
      <rPr>
        <sz val="10"/>
        <color indexed="8"/>
        <rFont val="Calibri"/>
        <charset val="0"/>
      </rPr>
      <t>_</t>
    </r>
    <r>
      <rPr>
        <sz val="10"/>
        <color indexed="8"/>
        <rFont val="宋体"/>
        <charset val="0"/>
      </rPr>
      <t>社会保障缴费</t>
    </r>
  </si>
  <si>
    <r>
      <rPr>
        <sz val="10"/>
        <color indexed="8"/>
        <rFont val="宋体"/>
        <charset val="0"/>
      </rPr>
      <t>大冶市金山街道办事处中心学校</t>
    </r>
    <r>
      <rPr>
        <sz val="10"/>
        <color indexed="8"/>
        <rFont val="Calibri"/>
        <charset val="0"/>
      </rPr>
      <t>_</t>
    </r>
    <r>
      <rPr>
        <sz val="10"/>
        <color indexed="8"/>
        <rFont val="宋体"/>
        <charset val="0"/>
      </rPr>
      <t>工资福利支出</t>
    </r>
  </si>
  <si>
    <r>
      <rPr>
        <sz val="10"/>
        <color indexed="8"/>
        <rFont val="宋体"/>
        <charset val="0"/>
      </rPr>
      <t>大冶市金山街道办事处中心学校</t>
    </r>
    <r>
      <rPr>
        <sz val="10"/>
        <color indexed="8"/>
        <rFont val="Calibri"/>
        <charset val="0"/>
      </rPr>
      <t>_</t>
    </r>
    <r>
      <rPr>
        <sz val="10"/>
        <color indexed="8"/>
        <rFont val="宋体"/>
        <charset val="0"/>
      </rPr>
      <t>离退休费</t>
    </r>
  </si>
  <si>
    <r>
      <rPr>
        <sz val="10"/>
        <color indexed="8"/>
        <rFont val="宋体"/>
        <charset val="0"/>
      </rPr>
      <t>大冶市金山街道办事处中心学校</t>
    </r>
    <r>
      <rPr>
        <sz val="10"/>
        <color indexed="8"/>
        <rFont val="Calibri"/>
        <charset val="0"/>
      </rPr>
      <t>_</t>
    </r>
    <r>
      <rPr>
        <sz val="10"/>
        <color indexed="8"/>
        <rFont val="宋体"/>
        <charset val="0"/>
      </rPr>
      <t>离退休人员公用经费</t>
    </r>
  </si>
  <si>
    <r>
      <rPr>
        <sz val="10"/>
        <color indexed="8"/>
        <rFont val="宋体"/>
        <charset val="0"/>
      </rPr>
      <t>大冶市金山街道办事处中心学校</t>
    </r>
    <r>
      <rPr>
        <sz val="10"/>
        <color indexed="8"/>
        <rFont val="Calibri"/>
        <charset val="0"/>
      </rPr>
      <t>_</t>
    </r>
    <r>
      <rPr>
        <sz val="10"/>
        <color indexed="8"/>
        <rFont val="宋体"/>
        <charset val="0"/>
      </rPr>
      <t>职工福利费</t>
    </r>
  </si>
  <si>
    <r>
      <rPr>
        <sz val="10"/>
        <color indexed="8"/>
        <rFont val="宋体"/>
        <charset val="0"/>
      </rPr>
      <t>大冶市金山街道办事处中心学校</t>
    </r>
    <r>
      <rPr>
        <sz val="10"/>
        <color indexed="8"/>
        <rFont val="Calibri"/>
        <charset val="0"/>
      </rPr>
      <t>_</t>
    </r>
    <r>
      <rPr>
        <sz val="10"/>
        <color indexed="8"/>
        <rFont val="宋体"/>
        <charset val="0"/>
      </rPr>
      <t>其他对个人和家庭的补助</t>
    </r>
  </si>
  <si>
    <r>
      <rPr>
        <b/>
        <sz val="10"/>
        <color indexed="8"/>
        <rFont val="宋体"/>
        <charset val="0"/>
      </rPr>
      <t>　　</t>
    </r>
    <r>
      <rPr>
        <b/>
        <sz val="10"/>
        <color indexed="8"/>
        <rFont val="Calibri"/>
        <charset val="0"/>
      </rPr>
      <t>301010</t>
    </r>
  </si>
  <si>
    <r>
      <rPr>
        <sz val="10"/>
        <color indexed="8"/>
        <rFont val="宋体"/>
        <charset val="0"/>
      </rPr>
      <t>　　　</t>
    </r>
    <r>
      <rPr>
        <sz val="10"/>
        <color indexed="8"/>
        <rFont val="Calibri"/>
        <charset val="0"/>
      </rPr>
      <t>301010</t>
    </r>
  </si>
  <si>
    <t>　　　大冶市汪仁镇中心学校</t>
  </si>
  <si>
    <r>
      <rPr>
        <sz val="10"/>
        <color indexed="8"/>
        <rFont val="宋体"/>
        <charset val="0"/>
      </rPr>
      <t>大冶市汪仁镇中心学校</t>
    </r>
    <r>
      <rPr>
        <sz val="10"/>
        <color indexed="8"/>
        <rFont val="Calibri"/>
        <charset val="0"/>
      </rPr>
      <t>_</t>
    </r>
    <r>
      <rPr>
        <sz val="10"/>
        <color indexed="8"/>
        <rFont val="宋体"/>
        <charset val="0"/>
      </rPr>
      <t>离退休人员公用经费</t>
    </r>
  </si>
  <si>
    <r>
      <rPr>
        <sz val="10"/>
        <color indexed="8"/>
        <rFont val="宋体"/>
        <charset val="0"/>
      </rPr>
      <t>大冶市汪仁镇中心学校</t>
    </r>
    <r>
      <rPr>
        <sz val="10"/>
        <color indexed="8"/>
        <rFont val="Calibri"/>
        <charset val="0"/>
      </rPr>
      <t>_</t>
    </r>
    <r>
      <rPr>
        <sz val="10"/>
        <color indexed="8"/>
        <rFont val="宋体"/>
        <charset val="0"/>
      </rPr>
      <t>社会保障缴费</t>
    </r>
  </si>
  <si>
    <r>
      <rPr>
        <sz val="10"/>
        <color indexed="8"/>
        <rFont val="宋体"/>
        <charset val="0"/>
      </rPr>
      <t>大冶市汪仁镇中心学校</t>
    </r>
    <r>
      <rPr>
        <sz val="10"/>
        <color indexed="8"/>
        <rFont val="Calibri"/>
        <charset val="0"/>
      </rPr>
      <t>_</t>
    </r>
    <r>
      <rPr>
        <sz val="10"/>
        <color indexed="8"/>
        <rFont val="宋体"/>
        <charset val="0"/>
      </rPr>
      <t>职工福利费</t>
    </r>
  </si>
  <si>
    <r>
      <rPr>
        <sz val="10"/>
        <color indexed="8"/>
        <rFont val="宋体"/>
        <charset val="0"/>
      </rPr>
      <t>大冶市汪仁镇中心学校</t>
    </r>
    <r>
      <rPr>
        <sz val="10"/>
        <color indexed="8"/>
        <rFont val="Calibri"/>
        <charset val="0"/>
      </rPr>
      <t>_</t>
    </r>
    <r>
      <rPr>
        <sz val="10"/>
        <color indexed="8"/>
        <rFont val="宋体"/>
        <charset val="0"/>
      </rPr>
      <t>住房公积金</t>
    </r>
  </si>
  <si>
    <r>
      <rPr>
        <sz val="10"/>
        <color indexed="8"/>
        <rFont val="宋体"/>
        <charset val="0"/>
      </rPr>
      <t>大冶市汪仁镇中心学校</t>
    </r>
    <r>
      <rPr>
        <sz val="10"/>
        <color indexed="8"/>
        <rFont val="Calibri"/>
        <charset val="0"/>
      </rPr>
      <t>_</t>
    </r>
    <r>
      <rPr>
        <sz val="10"/>
        <color indexed="8"/>
        <rFont val="宋体"/>
        <charset val="0"/>
      </rPr>
      <t>其他对个人和家庭的补助</t>
    </r>
  </si>
  <si>
    <r>
      <rPr>
        <sz val="10"/>
        <color indexed="8"/>
        <rFont val="宋体"/>
        <charset val="0"/>
      </rPr>
      <t>大冶市汪仁镇中心学校</t>
    </r>
    <r>
      <rPr>
        <sz val="10"/>
        <color indexed="8"/>
        <rFont val="Calibri"/>
        <charset val="0"/>
      </rPr>
      <t>_</t>
    </r>
    <r>
      <rPr>
        <sz val="10"/>
        <color indexed="8"/>
        <rFont val="宋体"/>
        <charset val="0"/>
      </rPr>
      <t>工资福利支出</t>
    </r>
  </si>
  <si>
    <r>
      <rPr>
        <sz val="10"/>
        <color indexed="8"/>
        <rFont val="宋体"/>
        <charset val="0"/>
      </rPr>
      <t>大冶市汪仁镇中心学校</t>
    </r>
    <r>
      <rPr>
        <sz val="10"/>
        <color indexed="8"/>
        <rFont val="Calibri"/>
        <charset val="0"/>
      </rPr>
      <t>_</t>
    </r>
    <r>
      <rPr>
        <sz val="10"/>
        <color indexed="8"/>
        <rFont val="宋体"/>
        <charset val="0"/>
      </rPr>
      <t>离退休费</t>
    </r>
  </si>
  <si>
    <r>
      <rPr>
        <b/>
        <sz val="10"/>
        <color indexed="8"/>
        <rFont val="宋体"/>
        <charset val="0"/>
      </rPr>
      <t>　　</t>
    </r>
    <r>
      <rPr>
        <b/>
        <sz val="10"/>
        <color indexed="8"/>
        <rFont val="Calibri"/>
        <charset val="0"/>
      </rPr>
      <t>301011</t>
    </r>
  </si>
  <si>
    <r>
      <rPr>
        <sz val="10"/>
        <color indexed="8"/>
        <rFont val="宋体"/>
        <charset val="0"/>
      </rPr>
      <t>　　　</t>
    </r>
    <r>
      <rPr>
        <sz val="10"/>
        <color indexed="8"/>
        <rFont val="Calibri"/>
        <charset val="0"/>
      </rPr>
      <t>301011</t>
    </r>
  </si>
  <si>
    <t>　　　阳新县太子镇中心学校</t>
  </si>
  <si>
    <r>
      <rPr>
        <sz val="10"/>
        <color indexed="8"/>
        <rFont val="宋体"/>
        <charset val="0"/>
      </rPr>
      <t>阳新县太子镇中心学校</t>
    </r>
    <r>
      <rPr>
        <sz val="10"/>
        <color indexed="8"/>
        <rFont val="Calibri"/>
        <charset val="0"/>
      </rPr>
      <t>_</t>
    </r>
    <r>
      <rPr>
        <sz val="10"/>
        <color indexed="8"/>
        <rFont val="宋体"/>
        <charset val="0"/>
      </rPr>
      <t>工资福利支出</t>
    </r>
  </si>
  <si>
    <r>
      <rPr>
        <sz val="10"/>
        <color indexed="8"/>
        <rFont val="宋体"/>
        <charset val="0"/>
      </rPr>
      <t>阳新县太子镇中心学校</t>
    </r>
    <r>
      <rPr>
        <sz val="10"/>
        <color indexed="8"/>
        <rFont val="Calibri"/>
        <charset val="0"/>
      </rPr>
      <t>_</t>
    </r>
    <r>
      <rPr>
        <sz val="10"/>
        <color indexed="8"/>
        <rFont val="宋体"/>
        <charset val="0"/>
      </rPr>
      <t>离退休费</t>
    </r>
  </si>
  <si>
    <r>
      <rPr>
        <sz val="10"/>
        <color indexed="8"/>
        <rFont val="宋体"/>
        <charset val="0"/>
      </rPr>
      <t>阳新县太子镇中心学校</t>
    </r>
    <r>
      <rPr>
        <sz val="10"/>
        <color indexed="8"/>
        <rFont val="Calibri"/>
        <charset val="0"/>
      </rPr>
      <t>_</t>
    </r>
    <r>
      <rPr>
        <sz val="10"/>
        <color indexed="8"/>
        <rFont val="宋体"/>
        <charset val="0"/>
      </rPr>
      <t>职工福利费</t>
    </r>
  </si>
  <si>
    <r>
      <rPr>
        <sz val="10"/>
        <color indexed="8"/>
        <rFont val="宋体"/>
        <charset val="0"/>
      </rPr>
      <t>阳新县太子镇中心学校</t>
    </r>
    <r>
      <rPr>
        <sz val="10"/>
        <color indexed="8"/>
        <rFont val="Calibri"/>
        <charset val="0"/>
      </rPr>
      <t>_</t>
    </r>
    <r>
      <rPr>
        <sz val="10"/>
        <color indexed="8"/>
        <rFont val="宋体"/>
        <charset val="0"/>
      </rPr>
      <t>其他对个人和家庭的补助</t>
    </r>
  </si>
  <si>
    <r>
      <rPr>
        <sz val="10"/>
        <color indexed="8"/>
        <rFont val="宋体"/>
        <charset val="0"/>
      </rPr>
      <t>阳新县太子镇中心学校</t>
    </r>
    <r>
      <rPr>
        <sz val="10"/>
        <color indexed="8"/>
        <rFont val="Calibri"/>
        <charset val="0"/>
      </rPr>
      <t>_</t>
    </r>
    <r>
      <rPr>
        <sz val="10"/>
        <color indexed="8"/>
        <rFont val="宋体"/>
        <charset val="0"/>
      </rPr>
      <t>离退休人员公用经费</t>
    </r>
  </si>
  <si>
    <r>
      <rPr>
        <sz val="10"/>
        <color indexed="8"/>
        <rFont val="宋体"/>
        <charset val="0"/>
      </rPr>
      <t>阳新县太子镇中心学校</t>
    </r>
    <r>
      <rPr>
        <sz val="10"/>
        <color indexed="8"/>
        <rFont val="Calibri"/>
        <charset val="0"/>
      </rPr>
      <t>_</t>
    </r>
    <r>
      <rPr>
        <sz val="10"/>
        <color indexed="8"/>
        <rFont val="宋体"/>
        <charset val="0"/>
      </rPr>
      <t>社会保障缴费</t>
    </r>
  </si>
  <si>
    <r>
      <rPr>
        <sz val="10"/>
        <color indexed="8"/>
        <rFont val="宋体"/>
        <charset val="0"/>
      </rPr>
      <t>阳新县太子镇中心学校</t>
    </r>
    <r>
      <rPr>
        <sz val="10"/>
        <color indexed="8"/>
        <rFont val="Calibri"/>
        <charset val="0"/>
      </rPr>
      <t>_</t>
    </r>
    <r>
      <rPr>
        <sz val="10"/>
        <color indexed="8"/>
        <rFont val="宋体"/>
        <charset val="0"/>
      </rPr>
      <t>住房公积金</t>
    </r>
  </si>
  <si>
    <r>
      <rPr>
        <b/>
        <sz val="10"/>
        <color indexed="8"/>
        <rFont val="宋体"/>
        <charset val="0"/>
      </rPr>
      <t>　　</t>
    </r>
    <r>
      <rPr>
        <b/>
        <sz val="10"/>
        <color indexed="8"/>
        <rFont val="Calibri"/>
        <charset val="0"/>
      </rPr>
      <t>301012</t>
    </r>
  </si>
  <si>
    <r>
      <rPr>
        <sz val="10"/>
        <color indexed="8"/>
        <rFont val="宋体"/>
        <charset val="0"/>
      </rPr>
      <t>　　　</t>
    </r>
    <r>
      <rPr>
        <sz val="10"/>
        <color indexed="8"/>
        <rFont val="Calibri"/>
        <charset val="0"/>
      </rPr>
      <t>301012</t>
    </r>
  </si>
  <si>
    <t>　　　阳新县大王镇中心学校</t>
  </si>
  <si>
    <r>
      <rPr>
        <sz val="10"/>
        <color indexed="8"/>
        <rFont val="宋体"/>
        <charset val="0"/>
      </rPr>
      <t>阳新县大王镇中心学校</t>
    </r>
    <r>
      <rPr>
        <sz val="10"/>
        <color indexed="8"/>
        <rFont val="Calibri"/>
        <charset val="0"/>
      </rPr>
      <t>_</t>
    </r>
    <r>
      <rPr>
        <sz val="10"/>
        <color indexed="8"/>
        <rFont val="宋体"/>
        <charset val="0"/>
      </rPr>
      <t>工资福利支出</t>
    </r>
  </si>
  <si>
    <r>
      <rPr>
        <sz val="10"/>
        <color indexed="8"/>
        <rFont val="宋体"/>
        <charset val="0"/>
      </rPr>
      <t>阳新县大王镇中心学校</t>
    </r>
    <r>
      <rPr>
        <sz val="10"/>
        <color indexed="8"/>
        <rFont val="Calibri"/>
        <charset val="0"/>
      </rPr>
      <t>_</t>
    </r>
    <r>
      <rPr>
        <sz val="10"/>
        <color indexed="8"/>
        <rFont val="宋体"/>
        <charset val="0"/>
      </rPr>
      <t>其他对个人和家庭的补助</t>
    </r>
  </si>
  <si>
    <r>
      <rPr>
        <sz val="10"/>
        <color indexed="8"/>
        <rFont val="宋体"/>
        <charset val="0"/>
      </rPr>
      <t>阳新县大王镇中心学校</t>
    </r>
    <r>
      <rPr>
        <sz val="10"/>
        <color indexed="8"/>
        <rFont val="Calibri"/>
        <charset val="0"/>
      </rPr>
      <t>_</t>
    </r>
    <r>
      <rPr>
        <sz val="10"/>
        <color indexed="8"/>
        <rFont val="宋体"/>
        <charset val="0"/>
      </rPr>
      <t>离退休费</t>
    </r>
  </si>
  <si>
    <r>
      <rPr>
        <sz val="10"/>
        <color indexed="8"/>
        <rFont val="宋体"/>
        <charset val="0"/>
      </rPr>
      <t>阳新县大王镇中心学校</t>
    </r>
    <r>
      <rPr>
        <sz val="10"/>
        <color indexed="8"/>
        <rFont val="Calibri"/>
        <charset val="0"/>
      </rPr>
      <t>_</t>
    </r>
    <r>
      <rPr>
        <sz val="10"/>
        <color indexed="8"/>
        <rFont val="宋体"/>
        <charset val="0"/>
      </rPr>
      <t>住房公积金</t>
    </r>
  </si>
  <si>
    <r>
      <rPr>
        <sz val="10"/>
        <color indexed="8"/>
        <rFont val="宋体"/>
        <charset val="0"/>
      </rPr>
      <t>阳新县大王镇中心学校</t>
    </r>
    <r>
      <rPr>
        <sz val="10"/>
        <color indexed="8"/>
        <rFont val="Calibri"/>
        <charset val="0"/>
      </rPr>
      <t>_</t>
    </r>
    <r>
      <rPr>
        <sz val="10"/>
        <color indexed="8"/>
        <rFont val="宋体"/>
        <charset val="0"/>
      </rPr>
      <t>职工福利费</t>
    </r>
  </si>
  <si>
    <r>
      <rPr>
        <sz val="10"/>
        <color indexed="8"/>
        <rFont val="宋体"/>
        <charset val="0"/>
      </rPr>
      <t>阳新县大王镇中心学校</t>
    </r>
    <r>
      <rPr>
        <sz val="10"/>
        <color indexed="8"/>
        <rFont val="Calibri"/>
        <charset val="0"/>
      </rPr>
      <t>_</t>
    </r>
    <r>
      <rPr>
        <sz val="10"/>
        <color indexed="8"/>
        <rFont val="宋体"/>
        <charset val="0"/>
      </rPr>
      <t>离退休人员公用经费</t>
    </r>
  </si>
  <si>
    <r>
      <rPr>
        <sz val="10"/>
        <color indexed="8"/>
        <rFont val="宋体"/>
        <charset val="0"/>
      </rPr>
      <t>阳新县大王镇中心学校</t>
    </r>
    <r>
      <rPr>
        <sz val="10"/>
        <color indexed="8"/>
        <rFont val="Calibri"/>
        <charset val="0"/>
      </rPr>
      <t>_</t>
    </r>
    <r>
      <rPr>
        <sz val="10"/>
        <color indexed="8"/>
        <rFont val="宋体"/>
        <charset val="0"/>
      </rPr>
      <t>社会保障缴费</t>
    </r>
  </si>
  <si>
    <r>
      <rPr>
        <b/>
        <sz val="10"/>
        <color indexed="8"/>
        <rFont val="宋体"/>
        <charset val="0"/>
      </rPr>
      <t>　　</t>
    </r>
    <r>
      <rPr>
        <b/>
        <sz val="10"/>
        <color indexed="8"/>
        <rFont val="Calibri"/>
        <charset val="0"/>
      </rPr>
      <t>301013</t>
    </r>
  </si>
  <si>
    <r>
      <rPr>
        <sz val="10"/>
        <color indexed="8"/>
        <rFont val="宋体"/>
        <charset val="0"/>
      </rPr>
      <t>　　　</t>
    </r>
    <r>
      <rPr>
        <sz val="10"/>
        <color indexed="8"/>
        <rFont val="Calibri"/>
        <charset val="0"/>
      </rPr>
      <t>301013</t>
    </r>
  </si>
  <si>
    <t>　　　黄石外国语学校</t>
  </si>
  <si>
    <r>
      <rPr>
        <b/>
        <sz val="10"/>
        <color indexed="8"/>
        <rFont val="宋体"/>
        <charset val="0"/>
      </rPr>
      <t>　　</t>
    </r>
    <r>
      <rPr>
        <b/>
        <sz val="10"/>
        <color indexed="8"/>
        <rFont val="Calibri"/>
        <charset val="0"/>
      </rPr>
      <t>302001</t>
    </r>
  </si>
  <si>
    <r>
      <rPr>
        <b/>
        <sz val="10"/>
        <color indexed="8"/>
        <rFont val="宋体"/>
        <charset val="0"/>
      </rPr>
      <t>　　黄石经济技术开发区</t>
    </r>
    <r>
      <rPr>
        <b/>
        <sz val="10"/>
        <color indexed="8"/>
        <rFont val="Calibri"/>
        <charset val="0"/>
      </rPr>
      <t>·</t>
    </r>
    <r>
      <rPr>
        <b/>
        <sz val="10"/>
        <color indexed="8"/>
        <rFont val="宋体"/>
        <charset val="0"/>
      </rPr>
      <t>铁山区文化和旅游局本级</t>
    </r>
  </si>
  <si>
    <r>
      <rPr>
        <sz val="10"/>
        <color indexed="8"/>
        <rFont val="宋体"/>
        <charset val="0"/>
      </rPr>
      <t>　　　</t>
    </r>
    <r>
      <rPr>
        <sz val="10"/>
        <color indexed="8"/>
        <rFont val="Calibri"/>
        <charset val="0"/>
      </rPr>
      <t>302001</t>
    </r>
  </si>
  <si>
    <r>
      <rPr>
        <sz val="10"/>
        <color indexed="8"/>
        <rFont val="宋体"/>
        <charset val="0"/>
      </rPr>
      <t>　　　黄石经济技术开发区</t>
    </r>
    <r>
      <rPr>
        <sz val="10"/>
        <color indexed="8"/>
        <rFont val="Calibri"/>
        <charset val="0"/>
      </rPr>
      <t>·</t>
    </r>
    <r>
      <rPr>
        <sz val="10"/>
        <color indexed="8"/>
        <rFont val="宋体"/>
        <charset val="0"/>
      </rPr>
      <t>铁山区文化和旅游局本级</t>
    </r>
  </si>
  <si>
    <t>2070101</t>
  </si>
  <si>
    <r>
      <rPr>
        <sz val="10"/>
        <color indexed="8"/>
        <rFont val="宋体"/>
        <charset val="0"/>
      </rPr>
      <t>黄石经济技术开发区</t>
    </r>
    <r>
      <rPr>
        <sz val="10"/>
        <color indexed="8"/>
        <rFont val="Calibri"/>
        <charset val="0"/>
      </rPr>
      <t>·</t>
    </r>
    <r>
      <rPr>
        <sz val="10"/>
        <color indexed="8"/>
        <rFont val="宋体"/>
        <charset val="0"/>
      </rPr>
      <t>铁山区文化和旅游局本级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</si>
  <si>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铁山区文化和旅游局本级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</si>
  <si>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铁山区文化和旅游局本级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</si>
  <si>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铁山区文化和旅游局本级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</si>
  <si>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铁山区文化和旅游局本级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</si>
  <si>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铁山区文化和旅游局本级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</si>
  <si>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铁山区文化和旅游局本级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</si>
  <si>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铁山区文化和旅游局本级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</si>
  <si>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铁山区文化和旅游局本级</t>
    </r>
    <r>
      <rPr>
        <sz val="10"/>
        <color indexed="8"/>
        <rFont val="Calibri"/>
        <charset val="0"/>
      </rPr>
      <t>_</t>
    </r>
    <r>
      <rPr>
        <sz val="10"/>
        <color indexed="8"/>
        <rFont val="宋体"/>
        <charset val="0"/>
      </rPr>
      <t>社会保障缴费</t>
    </r>
  </si>
  <si>
    <r>
      <rPr>
        <b/>
        <sz val="10"/>
        <color indexed="8"/>
        <rFont val="宋体"/>
        <charset val="0"/>
      </rPr>
      <t>　　</t>
    </r>
    <r>
      <rPr>
        <b/>
        <sz val="10"/>
        <color indexed="8"/>
        <rFont val="Calibri"/>
        <charset val="0"/>
      </rPr>
      <t>303001</t>
    </r>
  </si>
  <si>
    <r>
      <rPr>
        <b/>
        <sz val="10"/>
        <color indexed="8"/>
        <rFont val="宋体"/>
        <charset val="0"/>
      </rPr>
      <t>　　黄石经济技术开发区</t>
    </r>
    <r>
      <rPr>
        <b/>
        <sz val="10"/>
        <color indexed="8"/>
        <rFont val="Calibri"/>
        <charset val="0"/>
      </rPr>
      <t>·</t>
    </r>
    <r>
      <rPr>
        <b/>
        <sz val="10"/>
        <color indexed="8"/>
        <rFont val="宋体"/>
        <charset val="0"/>
      </rPr>
      <t>铁山区科学技术局本级</t>
    </r>
  </si>
  <si>
    <r>
      <rPr>
        <sz val="10"/>
        <color indexed="8"/>
        <rFont val="宋体"/>
        <charset val="0"/>
      </rPr>
      <t>　　　</t>
    </r>
    <r>
      <rPr>
        <sz val="10"/>
        <color indexed="8"/>
        <rFont val="Calibri"/>
        <charset val="0"/>
      </rPr>
      <t>303001</t>
    </r>
  </si>
  <si>
    <r>
      <rPr>
        <sz val="10"/>
        <color indexed="8"/>
        <rFont val="宋体"/>
        <charset val="0"/>
      </rPr>
      <t>　　　黄石经济技术开发区</t>
    </r>
    <r>
      <rPr>
        <sz val="10"/>
        <color indexed="8"/>
        <rFont val="Calibri"/>
        <charset val="0"/>
      </rPr>
      <t>·</t>
    </r>
    <r>
      <rPr>
        <sz val="10"/>
        <color indexed="8"/>
        <rFont val="宋体"/>
        <charset val="0"/>
      </rPr>
      <t>铁山区科学技术局本级</t>
    </r>
  </si>
  <si>
    <t>2060101</t>
  </si>
  <si>
    <r>
      <rPr>
        <sz val="10"/>
        <color indexed="8"/>
        <rFont val="宋体"/>
        <charset val="0"/>
      </rPr>
      <t>黄石经济技术开发区</t>
    </r>
    <r>
      <rPr>
        <sz val="10"/>
        <color indexed="8"/>
        <rFont val="Calibri"/>
        <charset val="0"/>
      </rPr>
      <t>·</t>
    </r>
    <r>
      <rPr>
        <sz val="10"/>
        <color indexed="8"/>
        <rFont val="宋体"/>
        <charset val="0"/>
      </rPr>
      <t>铁山区科学技术局本级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</si>
  <si>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铁山区科学技术局本级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</si>
  <si>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铁山区科学技术局本级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</si>
  <si>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铁山区科学技术局本级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</si>
  <si>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铁山区科学技术局本级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</si>
  <si>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铁山区科学技术局本级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</si>
  <si>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铁山区科学技术局本级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</si>
  <si>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铁山区科学技术局本级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</si>
  <si>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铁山区科学技术局本级</t>
    </r>
    <r>
      <rPr>
        <sz val="10"/>
        <color indexed="8"/>
        <rFont val="Calibri"/>
        <charset val="0"/>
      </rPr>
      <t>_</t>
    </r>
    <r>
      <rPr>
        <sz val="10"/>
        <color indexed="8"/>
        <rFont val="宋体"/>
        <charset val="0"/>
      </rPr>
      <t>其他对个人和家庭的补助</t>
    </r>
  </si>
  <si>
    <r>
      <rPr>
        <b/>
        <sz val="10"/>
        <color indexed="8"/>
        <rFont val="宋体"/>
        <charset val="0"/>
      </rPr>
      <t>　　</t>
    </r>
    <r>
      <rPr>
        <b/>
        <sz val="10"/>
        <color indexed="8"/>
        <rFont val="Calibri"/>
        <charset val="0"/>
      </rPr>
      <t>304001</t>
    </r>
  </si>
  <si>
    <r>
      <rPr>
        <sz val="10"/>
        <color indexed="8"/>
        <rFont val="宋体"/>
        <charset val="0"/>
      </rPr>
      <t>　　　</t>
    </r>
    <r>
      <rPr>
        <sz val="10"/>
        <color indexed="8"/>
        <rFont val="Calibri"/>
        <charset val="0"/>
      </rPr>
      <t>304001</t>
    </r>
  </si>
  <si>
    <t>　　　黄石高新技术创业服务中心本级</t>
  </si>
  <si>
    <r>
      <rPr>
        <sz val="10"/>
        <color indexed="8"/>
        <rFont val="宋体"/>
        <charset val="0"/>
      </rPr>
      <t>黄石高新技术创业服务中心本级</t>
    </r>
    <r>
      <rPr>
        <sz val="10"/>
        <color indexed="8"/>
        <rFont val="Calibri"/>
        <charset val="0"/>
      </rPr>
      <t>_</t>
    </r>
    <r>
      <rPr>
        <sz val="10"/>
        <color indexed="8"/>
        <rFont val="宋体"/>
        <charset val="0"/>
      </rPr>
      <t>交通费</t>
    </r>
  </si>
  <si>
    <r>
      <rPr>
        <sz val="10"/>
        <color indexed="8"/>
        <rFont val="宋体"/>
        <charset val="0"/>
      </rPr>
      <t>黄石高新技术创业服务中心本级</t>
    </r>
    <r>
      <rPr>
        <sz val="10"/>
        <color indexed="8"/>
        <rFont val="Calibri"/>
        <charset val="0"/>
      </rPr>
      <t>_</t>
    </r>
    <r>
      <rPr>
        <sz val="10"/>
        <color indexed="8"/>
        <rFont val="宋体"/>
        <charset val="0"/>
      </rPr>
      <t>在职人员公用经费</t>
    </r>
  </si>
  <si>
    <r>
      <rPr>
        <sz val="10"/>
        <color indexed="8"/>
        <rFont val="宋体"/>
        <charset val="0"/>
      </rPr>
      <t>黄石高新技术创业服务中心本级</t>
    </r>
    <r>
      <rPr>
        <sz val="10"/>
        <color indexed="8"/>
        <rFont val="Calibri"/>
        <charset val="0"/>
      </rPr>
      <t>_</t>
    </r>
    <r>
      <rPr>
        <sz val="10"/>
        <color indexed="8"/>
        <rFont val="宋体"/>
        <charset val="0"/>
      </rPr>
      <t>住房公积金</t>
    </r>
  </si>
  <si>
    <r>
      <rPr>
        <sz val="10"/>
        <color indexed="8"/>
        <rFont val="宋体"/>
        <charset val="0"/>
      </rPr>
      <t>黄石高新技术创业服务中心本级</t>
    </r>
    <r>
      <rPr>
        <sz val="10"/>
        <color indexed="8"/>
        <rFont val="Calibri"/>
        <charset val="0"/>
      </rPr>
      <t>_</t>
    </r>
    <r>
      <rPr>
        <sz val="10"/>
        <color indexed="8"/>
        <rFont val="宋体"/>
        <charset val="0"/>
      </rPr>
      <t>社会保障缴费</t>
    </r>
  </si>
  <si>
    <r>
      <rPr>
        <sz val="10"/>
        <color indexed="8"/>
        <rFont val="宋体"/>
        <charset val="0"/>
      </rPr>
      <t>黄石高新技术创业服务中心本级</t>
    </r>
    <r>
      <rPr>
        <sz val="10"/>
        <color indexed="8"/>
        <rFont val="Calibri"/>
        <charset val="0"/>
      </rPr>
      <t>_</t>
    </r>
    <r>
      <rPr>
        <sz val="10"/>
        <color indexed="8"/>
        <rFont val="宋体"/>
        <charset val="0"/>
      </rPr>
      <t>职工福利费</t>
    </r>
  </si>
  <si>
    <r>
      <rPr>
        <sz val="10"/>
        <color indexed="8"/>
        <rFont val="宋体"/>
        <charset val="0"/>
      </rPr>
      <t>黄石高新技术创业服务中心本级</t>
    </r>
    <r>
      <rPr>
        <sz val="10"/>
        <color indexed="8"/>
        <rFont val="Calibri"/>
        <charset val="0"/>
      </rPr>
      <t>_</t>
    </r>
    <r>
      <rPr>
        <sz val="10"/>
        <color indexed="8"/>
        <rFont val="宋体"/>
        <charset val="0"/>
      </rPr>
      <t>工资福利支出</t>
    </r>
  </si>
  <si>
    <r>
      <rPr>
        <b/>
        <sz val="10"/>
        <color indexed="8"/>
        <rFont val="宋体"/>
        <charset val="0"/>
      </rPr>
      <t>　　</t>
    </r>
    <r>
      <rPr>
        <b/>
        <sz val="10"/>
        <color indexed="8"/>
        <rFont val="Calibri"/>
        <charset val="0"/>
      </rPr>
      <t>401001</t>
    </r>
  </si>
  <si>
    <r>
      <rPr>
        <b/>
        <sz val="10"/>
        <color indexed="8"/>
        <rFont val="宋体"/>
        <charset val="0"/>
      </rPr>
      <t>　　黄石经济技术开发区</t>
    </r>
    <r>
      <rPr>
        <b/>
        <sz val="10"/>
        <color indexed="8"/>
        <rFont val="Calibri"/>
        <charset val="0"/>
      </rPr>
      <t>·</t>
    </r>
    <r>
      <rPr>
        <b/>
        <sz val="10"/>
        <color indexed="8"/>
        <rFont val="宋体"/>
        <charset val="0"/>
      </rPr>
      <t>铁山区发展和改革局本级</t>
    </r>
  </si>
  <si>
    <r>
      <rPr>
        <sz val="10"/>
        <color indexed="8"/>
        <rFont val="宋体"/>
        <charset val="0"/>
      </rPr>
      <t>　　　</t>
    </r>
    <r>
      <rPr>
        <sz val="10"/>
        <color indexed="8"/>
        <rFont val="Calibri"/>
        <charset val="0"/>
      </rPr>
      <t>401001</t>
    </r>
  </si>
  <si>
    <r>
      <rPr>
        <sz val="10"/>
        <color indexed="8"/>
        <rFont val="宋体"/>
        <charset val="0"/>
      </rPr>
      <t>　　　黄石经济技术开发区</t>
    </r>
    <r>
      <rPr>
        <sz val="10"/>
        <color indexed="8"/>
        <rFont val="Calibri"/>
        <charset val="0"/>
      </rPr>
      <t>·</t>
    </r>
    <r>
      <rPr>
        <sz val="10"/>
        <color indexed="8"/>
        <rFont val="宋体"/>
        <charset val="0"/>
      </rPr>
      <t>铁山区发展和改革局本级</t>
    </r>
  </si>
  <si>
    <t>2010401</t>
  </si>
  <si>
    <r>
      <rPr>
        <sz val="10"/>
        <color indexed="8"/>
        <rFont val="宋体"/>
        <charset val="0"/>
      </rPr>
      <t>黄石经济技术开发区</t>
    </r>
    <r>
      <rPr>
        <sz val="10"/>
        <color indexed="8"/>
        <rFont val="Calibri"/>
        <charset val="0"/>
      </rPr>
      <t>·</t>
    </r>
    <r>
      <rPr>
        <sz val="10"/>
        <color indexed="8"/>
        <rFont val="宋体"/>
        <charset val="0"/>
      </rPr>
      <t>铁山区发展和改革局本级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</si>
  <si>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铁山区发展和改革局本级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</si>
  <si>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铁山区发展和改革局本级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</si>
  <si>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铁山区发展和改革局本级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</si>
  <si>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铁山区发展和改革局本级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</si>
  <si>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铁山区发展和改革局本级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</si>
  <si>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铁山区发展和改革局本级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</si>
  <si>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铁山区发展和改革局本级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</si>
  <si>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铁山区发展和改革局本级</t>
    </r>
    <r>
      <rPr>
        <sz val="10"/>
        <color indexed="8"/>
        <rFont val="Calibri"/>
        <charset val="0"/>
      </rPr>
      <t>_</t>
    </r>
    <r>
      <rPr>
        <sz val="10"/>
        <color indexed="8"/>
        <rFont val="宋体"/>
        <charset val="0"/>
      </rPr>
      <t>在职人员公用经费</t>
    </r>
  </si>
  <si>
    <r>
      <rPr>
        <b/>
        <sz val="10"/>
        <color indexed="8"/>
        <rFont val="宋体"/>
        <charset val="0"/>
      </rPr>
      <t>　　</t>
    </r>
    <r>
      <rPr>
        <b/>
        <sz val="10"/>
        <color indexed="8"/>
        <rFont val="Calibri"/>
        <charset val="0"/>
      </rPr>
      <t>402001</t>
    </r>
  </si>
  <si>
    <r>
      <rPr>
        <b/>
        <sz val="10"/>
        <color indexed="8"/>
        <rFont val="宋体"/>
        <charset val="0"/>
      </rPr>
      <t>　　黄石经济技术开发区</t>
    </r>
    <r>
      <rPr>
        <b/>
        <sz val="10"/>
        <color indexed="8"/>
        <rFont val="Calibri"/>
        <charset val="0"/>
      </rPr>
      <t>·</t>
    </r>
    <r>
      <rPr>
        <b/>
        <sz val="10"/>
        <color indexed="8"/>
        <rFont val="宋体"/>
        <charset val="0"/>
      </rPr>
      <t>铁山区招商和投资促进局本级</t>
    </r>
  </si>
  <si>
    <r>
      <rPr>
        <sz val="10"/>
        <color indexed="8"/>
        <rFont val="宋体"/>
        <charset val="0"/>
      </rPr>
      <t>　　　</t>
    </r>
    <r>
      <rPr>
        <sz val="10"/>
        <color indexed="8"/>
        <rFont val="Calibri"/>
        <charset val="0"/>
      </rPr>
      <t>402001</t>
    </r>
  </si>
  <si>
    <r>
      <rPr>
        <sz val="10"/>
        <color indexed="8"/>
        <rFont val="宋体"/>
        <charset val="0"/>
      </rPr>
      <t>　　　黄石经济技术开发区</t>
    </r>
    <r>
      <rPr>
        <sz val="10"/>
        <color indexed="8"/>
        <rFont val="Calibri"/>
        <charset val="0"/>
      </rPr>
      <t>·</t>
    </r>
    <r>
      <rPr>
        <sz val="10"/>
        <color indexed="8"/>
        <rFont val="宋体"/>
        <charset val="0"/>
      </rPr>
      <t>铁山区招商和投资促进局本级</t>
    </r>
  </si>
  <si>
    <t>2011301</t>
  </si>
  <si>
    <r>
      <rPr>
        <sz val="10"/>
        <color indexed="8"/>
        <rFont val="宋体"/>
        <charset val="0"/>
      </rPr>
      <t>黄石经济技术开发区</t>
    </r>
    <r>
      <rPr>
        <sz val="10"/>
        <color indexed="8"/>
        <rFont val="Calibri"/>
        <charset val="0"/>
      </rPr>
      <t>·</t>
    </r>
    <r>
      <rPr>
        <sz val="10"/>
        <color indexed="8"/>
        <rFont val="宋体"/>
        <charset val="0"/>
      </rPr>
      <t>铁山区招商和投资促进局本级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</si>
  <si>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铁山区招商和投资促进局本级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</si>
  <si>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铁山区招商和投资促进局本级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</si>
  <si>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铁山区招商和投资促进局本级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</si>
  <si>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铁山区招商和投资促进局本级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</si>
  <si>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铁山区招商和投资促进局本级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</si>
  <si>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铁山区招商和投资促进局本级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</si>
  <si>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铁山区招商和投资促进局本级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</si>
  <si>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铁山区招商和投资促进局本级</t>
    </r>
    <r>
      <rPr>
        <sz val="10"/>
        <color indexed="8"/>
        <rFont val="Calibri"/>
        <charset val="0"/>
      </rPr>
      <t>_</t>
    </r>
    <r>
      <rPr>
        <sz val="10"/>
        <color indexed="8"/>
        <rFont val="宋体"/>
        <charset val="0"/>
      </rPr>
      <t>其他对个人和家庭的补助</t>
    </r>
  </si>
  <si>
    <r>
      <rPr>
        <b/>
        <sz val="10"/>
        <color indexed="8"/>
        <rFont val="宋体"/>
        <charset val="0"/>
      </rPr>
      <t>　　</t>
    </r>
    <r>
      <rPr>
        <b/>
        <sz val="10"/>
        <color indexed="8"/>
        <rFont val="Calibri"/>
        <charset val="0"/>
      </rPr>
      <t>403001</t>
    </r>
  </si>
  <si>
    <r>
      <rPr>
        <b/>
        <sz val="10"/>
        <color indexed="8"/>
        <rFont val="宋体"/>
        <charset val="0"/>
      </rPr>
      <t>　　黄石经济技术开发区</t>
    </r>
    <r>
      <rPr>
        <b/>
        <sz val="10"/>
        <color indexed="8"/>
        <rFont val="Calibri"/>
        <charset val="0"/>
      </rPr>
      <t>·</t>
    </r>
    <r>
      <rPr>
        <b/>
        <sz val="10"/>
        <color indexed="8"/>
        <rFont val="宋体"/>
        <charset val="0"/>
      </rPr>
      <t>铁山区经济信息化和商务局</t>
    </r>
  </si>
  <si>
    <r>
      <rPr>
        <sz val="10"/>
        <color indexed="8"/>
        <rFont val="宋体"/>
        <charset val="0"/>
      </rPr>
      <t>　　　</t>
    </r>
    <r>
      <rPr>
        <sz val="10"/>
        <color indexed="8"/>
        <rFont val="Calibri"/>
        <charset val="0"/>
      </rPr>
      <t>403001</t>
    </r>
  </si>
  <si>
    <r>
      <rPr>
        <sz val="10"/>
        <color indexed="8"/>
        <rFont val="宋体"/>
        <charset val="0"/>
      </rPr>
      <t>　　　黄石经济技术开发区</t>
    </r>
    <r>
      <rPr>
        <sz val="10"/>
        <color indexed="8"/>
        <rFont val="Calibri"/>
        <charset val="0"/>
      </rPr>
      <t>·</t>
    </r>
    <r>
      <rPr>
        <sz val="10"/>
        <color indexed="8"/>
        <rFont val="宋体"/>
        <charset val="0"/>
      </rPr>
      <t>铁山区经济信息化和商务局</t>
    </r>
  </si>
  <si>
    <r>
      <rPr>
        <sz val="10"/>
        <color indexed="8"/>
        <rFont val="宋体"/>
        <charset val="0"/>
      </rPr>
      <t>黄石经济技术开发区</t>
    </r>
    <r>
      <rPr>
        <sz val="10"/>
        <color indexed="8"/>
        <rFont val="Calibri"/>
        <charset val="0"/>
      </rPr>
      <t>·</t>
    </r>
    <r>
      <rPr>
        <sz val="10"/>
        <color indexed="8"/>
        <rFont val="宋体"/>
        <charset val="0"/>
      </rPr>
      <t>铁山区经济信息化和商务局</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</si>
  <si>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铁山区经济信息化和商务局</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</si>
  <si>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铁山区经济信息化和商务局</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</si>
  <si>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铁山区经济信息化和商务局</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</si>
  <si>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铁山区经济信息化和商务局</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</si>
  <si>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铁山区经济信息化和商务局</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</si>
  <si>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铁山区经济信息化和商务局</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</si>
  <si>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铁山区经济信息化和商务局</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</si>
  <si>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铁山区经济信息化和商务局</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</si>
  <si>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404001</t>
    </r>
  </si>
  <si>
    <r>
      <rPr>
        <b/>
        <sz val="10"/>
        <color indexed="8"/>
        <rFont val="宋体"/>
        <charset val="0"/>
      </rPr>
      <t>　　黄石经济技术开发区</t>
    </r>
    <r>
      <rPr>
        <b/>
        <sz val="10"/>
        <color indexed="8"/>
        <rFont val="Calibri"/>
        <charset val="0"/>
      </rPr>
      <t>·</t>
    </r>
    <r>
      <rPr>
        <b/>
        <sz val="10"/>
        <color indexed="8"/>
        <rFont val="宋体"/>
        <charset val="0"/>
      </rPr>
      <t>铁山区建设局本级</t>
    </r>
  </si>
  <si>
    <r>
      <rPr>
        <sz val="10"/>
        <color indexed="8"/>
        <rFont val="宋体"/>
        <charset val="0"/>
      </rPr>
      <t>　　　</t>
    </r>
    <r>
      <rPr>
        <sz val="10"/>
        <color indexed="8"/>
        <rFont val="Calibri"/>
        <charset val="0"/>
      </rPr>
      <t>404001</t>
    </r>
  </si>
  <si>
    <r>
      <rPr>
        <sz val="10"/>
        <color indexed="8"/>
        <rFont val="宋体"/>
        <charset val="0"/>
      </rPr>
      <t>　　　黄石经济技术开发区</t>
    </r>
    <r>
      <rPr>
        <sz val="10"/>
        <color indexed="8"/>
        <rFont val="Calibri"/>
        <charset val="0"/>
      </rPr>
      <t>·</t>
    </r>
    <r>
      <rPr>
        <sz val="10"/>
        <color indexed="8"/>
        <rFont val="宋体"/>
        <charset val="0"/>
      </rPr>
      <t>铁山区建设局本级</t>
    </r>
  </si>
  <si>
    <t>2120101</t>
  </si>
  <si>
    <r>
      <rPr>
        <sz val="10"/>
        <color indexed="8"/>
        <rFont val="宋体"/>
        <charset val="0"/>
      </rPr>
      <t>黄石经济技术开发区</t>
    </r>
    <r>
      <rPr>
        <sz val="10"/>
        <color indexed="8"/>
        <rFont val="Calibri"/>
        <charset val="0"/>
      </rPr>
      <t>·</t>
    </r>
    <r>
      <rPr>
        <sz val="10"/>
        <color indexed="8"/>
        <rFont val="宋体"/>
        <charset val="0"/>
      </rPr>
      <t>铁山区建设局本级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</si>
  <si>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铁山区建设局本级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</si>
  <si>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铁山区建设局本级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</si>
  <si>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铁山区建设局本级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</si>
  <si>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铁山区建设局本级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</si>
  <si>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铁山区建设局本级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</si>
  <si>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铁山区建设局本级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</si>
  <si>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铁山区建设局本级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</si>
  <si>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铁山区建设局本级</t>
    </r>
    <r>
      <rPr>
        <sz val="10"/>
        <color indexed="8"/>
        <rFont val="Calibri"/>
        <charset val="0"/>
      </rPr>
      <t>_</t>
    </r>
    <r>
      <rPr>
        <sz val="10"/>
        <color indexed="8"/>
        <rFont val="宋体"/>
        <charset val="0"/>
      </rPr>
      <t>在职人员公用经费</t>
    </r>
  </si>
  <si>
    <r>
      <rPr>
        <b/>
        <sz val="10"/>
        <color indexed="8"/>
        <rFont val="宋体"/>
        <charset val="0"/>
      </rPr>
      <t>　　</t>
    </r>
    <r>
      <rPr>
        <b/>
        <sz val="10"/>
        <color indexed="8"/>
        <rFont val="Calibri"/>
        <charset val="0"/>
      </rPr>
      <t>405001</t>
    </r>
  </si>
  <si>
    <r>
      <rPr>
        <b/>
        <sz val="10"/>
        <color indexed="8"/>
        <rFont val="宋体"/>
        <charset val="0"/>
      </rPr>
      <t>　　黄石经济技术开发区</t>
    </r>
    <r>
      <rPr>
        <b/>
        <sz val="10"/>
        <color indexed="8"/>
        <rFont val="Calibri"/>
        <charset val="0"/>
      </rPr>
      <t>·</t>
    </r>
    <r>
      <rPr>
        <b/>
        <sz val="10"/>
        <color indexed="8"/>
        <rFont val="宋体"/>
        <charset val="0"/>
      </rPr>
      <t>铁山区住房保障局本级</t>
    </r>
  </si>
  <si>
    <r>
      <rPr>
        <sz val="10"/>
        <color indexed="8"/>
        <rFont val="宋体"/>
        <charset val="0"/>
      </rPr>
      <t>　　　</t>
    </r>
    <r>
      <rPr>
        <sz val="10"/>
        <color indexed="8"/>
        <rFont val="Calibri"/>
        <charset val="0"/>
      </rPr>
      <t>405001</t>
    </r>
  </si>
  <si>
    <r>
      <rPr>
        <sz val="10"/>
        <color indexed="8"/>
        <rFont val="宋体"/>
        <charset val="0"/>
      </rPr>
      <t>　　　黄石经济技术开发区</t>
    </r>
    <r>
      <rPr>
        <sz val="10"/>
        <color indexed="8"/>
        <rFont val="Calibri"/>
        <charset val="0"/>
      </rPr>
      <t>·</t>
    </r>
    <r>
      <rPr>
        <sz val="10"/>
        <color indexed="8"/>
        <rFont val="宋体"/>
        <charset val="0"/>
      </rPr>
      <t>铁山区住房保障局本级</t>
    </r>
  </si>
  <si>
    <r>
      <rPr>
        <sz val="10"/>
        <color indexed="8"/>
        <rFont val="宋体"/>
        <charset val="0"/>
      </rPr>
      <t>黄石经济技术开发区</t>
    </r>
    <r>
      <rPr>
        <sz val="10"/>
        <color indexed="8"/>
        <rFont val="Calibri"/>
        <charset val="0"/>
      </rPr>
      <t>·</t>
    </r>
    <r>
      <rPr>
        <sz val="10"/>
        <color indexed="8"/>
        <rFont val="宋体"/>
        <charset val="0"/>
      </rPr>
      <t>铁山区住房保障局本级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</si>
  <si>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铁山区住房保障局本级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</si>
  <si>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铁山区住房保障局本级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</si>
  <si>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铁山区住房保障局本级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</si>
  <si>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铁山区住房保障局本级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</si>
  <si>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铁山区住房保障局本级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</si>
  <si>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铁山区住房保障局本级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</si>
  <si>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铁山区住房保障局本级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</si>
  <si>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铁山区住房保障局本级</t>
    </r>
    <r>
      <rPr>
        <sz val="10"/>
        <color indexed="8"/>
        <rFont val="Calibri"/>
        <charset val="0"/>
      </rPr>
      <t>_</t>
    </r>
    <r>
      <rPr>
        <sz val="10"/>
        <color indexed="8"/>
        <rFont val="宋体"/>
        <charset val="0"/>
      </rPr>
      <t>离退休费</t>
    </r>
  </si>
  <si>
    <r>
      <rPr>
        <b/>
        <sz val="10"/>
        <color indexed="8"/>
        <rFont val="宋体"/>
        <charset val="0"/>
      </rPr>
      <t>　　</t>
    </r>
    <r>
      <rPr>
        <b/>
        <sz val="10"/>
        <color indexed="8"/>
        <rFont val="Calibri"/>
        <charset val="0"/>
      </rPr>
      <t>406001</t>
    </r>
  </si>
  <si>
    <r>
      <rPr>
        <b/>
        <sz val="10"/>
        <color indexed="8"/>
        <rFont val="宋体"/>
        <charset val="0"/>
      </rPr>
      <t>　　黄石经济技术开发区</t>
    </r>
    <r>
      <rPr>
        <b/>
        <sz val="10"/>
        <color indexed="8"/>
        <rFont val="Calibri"/>
        <charset val="0"/>
      </rPr>
      <t>·</t>
    </r>
    <r>
      <rPr>
        <b/>
        <sz val="10"/>
        <color indexed="8"/>
        <rFont val="宋体"/>
        <charset val="0"/>
      </rPr>
      <t>铁山区城市管理执法局本级</t>
    </r>
  </si>
  <si>
    <r>
      <rPr>
        <sz val="10"/>
        <color indexed="8"/>
        <rFont val="宋体"/>
        <charset val="0"/>
      </rPr>
      <t>　　　</t>
    </r>
    <r>
      <rPr>
        <sz val="10"/>
        <color indexed="8"/>
        <rFont val="Calibri"/>
        <charset val="0"/>
      </rPr>
      <t>406001</t>
    </r>
  </si>
  <si>
    <r>
      <rPr>
        <sz val="10"/>
        <color indexed="8"/>
        <rFont val="宋体"/>
        <charset val="0"/>
      </rPr>
      <t>　　　黄石经济技术开发区</t>
    </r>
    <r>
      <rPr>
        <sz val="10"/>
        <color indexed="8"/>
        <rFont val="Calibri"/>
        <charset val="0"/>
      </rPr>
      <t>·</t>
    </r>
    <r>
      <rPr>
        <sz val="10"/>
        <color indexed="8"/>
        <rFont val="宋体"/>
        <charset val="0"/>
      </rPr>
      <t>铁山区城市管理执法局本级</t>
    </r>
  </si>
  <si>
    <r>
      <rPr>
        <sz val="10"/>
        <color indexed="8"/>
        <rFont val="宋体"/>
        <charset val="0"/>
      </rPr>
      <t>黄石经济技术开发区</t>
    </r>
    <r>
      <rPr>
        <sz val="10"/>
        <color indexed="8"/>
        <rFont val="Calibri"/>
        <charset val="0"/>
      </rPr>
      <t>·</t>
    </r>
    <r>
      <rPr>
        <sz val="10"/>
        <color indexed="8"/>
        <rFont val="宋体"/>
        <charset val="0"/>
      </rPr>
      <t>铁山区城市管理执法局本级</t>
    </r>
    <r>
      <rPr>
        <sz val="10"/>
        <color indexed="8"/>
        <rFont val="Calibri"/>
        <charset val="0"/>
      </rPr>
      <t>_</t>
    </r>
    <r>
      <rPr>
        <sz val="10"/>
        <color indexed="8"/>
        <rFont val="宋体"/>
        <charset val="0"/>
      </rPr>
      <t>在职人员公用经费</t>
    </r>
  </si>
  <si>
    <r>
      <rPr>
        <sz val="10"/>
        <color indexed="8"/>
        <rFont val="宋体"/>
        <charset val="0"/>
      </rPr>
      <t>黄石经济技术开发区</t>
    </r>
    <r>
      <rPr>
        <sz val="10"/>
        <color indexed="8"/>
        <rFont val="Calibri"/>
        <charset val="0"/>
      </rPr>
      <t>·</t>
    </r>
    <r>
      <rPr>
        <sz val="10"/>
        <color indexed="8"/>
        <rFont val="宋体"/>
        <charset val="0"/>
      </rPr>
      <t>铁山区城市管理执法局本级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</si>
  <si>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铁山区城市管理执法局本级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</si>
  <si>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铁山区城市管理执法局本级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</si>
  <si>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铁山区城市管理执法局本级</t>
    </r>
    <r>
      <rPr>
        <sz val="10"/>
        <color indexed="8"/>
        <rFont val="Calibri"/>
        <charset val="0"/>
      </rPr>
      <t>_</t>
    </r>
    <r>
      <rPr>
        <sz val="10"/>
        <color indexed="8"/>
        <rFont val="宋体"/>
        <charset val="0"/>
      </rPr>
      <t>其他对个人和家庭的补助</t>
    </r>
  </si>
  <si>
    <r>
      <rPr>
        <sz val="10"/>
        <color indexed="8"/>
        <rFont val="宋体"/>
        <charset val="0"/>
      </rPr>
      <t>黄石经济技术开发区</t>
    </r>
    <r>
      <rPr>
        <sz val="10"/>
        <color indexed="8"/>
        <rFont val="Calibri"/>
        <charset val="0"/>
      </rPr>
      <t>·</t>
    </r>
    <r>
      <rPr>
        <sz val="10"/>
        <color indexed="8"/>
        <rFont val="宋体"/>
        <charset val="0"/>
      </rPr>
      <t>铁山区城市管理执法局本级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</si>
  <si>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铁山区城市管理执法局本级</t>
    </r>
    <r>
      <rPr>
        <sz val="10"/>
        <color indexed="8"/>
        <rFont val="Calibri"/>
        <charset val="0"/>
      </rPr>
      <t>_</t>
    </r>
    <r>
      <rPr>
        <sz val="10"/>
        <color indexed="8"/>
        <rFont val="宋体"/>
        <charset val="0"/>
      </rPr>
      <t>离退休费</t>
    </r>
  </si>
  <si>
    <r>
      <rPr>
        <sz val="10"/>
        <color indexed="8"/>
        <rFont val="宋体"/>
        <charset val="0"/>
      </rPr>
      <t>黄石经济技术开发区</t>
    </r>
    <r>
      <rPr>
        <sz val="10"/>
        <color indexed="8"/>
        <rFont val="Calibri"/>
        <charset val="0"/>
      </rPr>
      <t>·</t>
    </r>
    <r>
      <rPr>
        <sz val="10"/>
        <color indexed="8"/>
        <rFont val="宋体"/>
        <charset val="0"/>
      </rPr>
      <t>铁山区城市管理执法局本级</t>
    </r>
    <r>
      <rPr>
        <sz val="10"/>
        <color indexed="8"/>
        <rFont val="Calibri"/>
        <charset val="0"/>
      </rPr>
      <t>_</t>
    </r>
    <r>
      <rPr>
        <sz val="10"/>
        <color indexed="8"/>
        <rFont val="宋体"/>
        <charset val="0"/>
      </rPr>
      <t>离退休人员公用经费</t>
    </r>
  </si>
  <si>
    <r>
      <rPr>
        <sz val="10"/>
        <color indexed="8"/>
        <rFont val="宋体"/>
        <charset val="0"/>
      </rPr>
      <t>黄石经济技术开发区</t>
    </r>
    <r>
      <rPr>
        <sz val="10"/>
        <color indexed="8"/>
        <rFont val="Calibri"/>
        <charset val="0"/>
      </rPr>
      <t>·</t>
    </r>
    <r>
      <rPr>
        <sz val="10"/>
        <color indexed="8"/>
        <rFont val="宋体"/>
        <charset val="0"/>
      </rPr>
      <t>铁山区城市管理执法局本级</t>
    </r>
    <r>
      <rPr>
        <sz val="10"/>
        <color indexed="8"/>
        <rFont val="Calibri"/>
        <charset val="0"/>
      </rPr>
      <t>_</t>
    </r>
    <r>
      <rPr>
        <sz val="10"/>
        <color indexed="8"/>
        <rFont val="宋体"/>
        <charset val="0"/>
      </rPr>
      <t>社会保障缴费</t>
    </r>
  </si>
  <si>
    <r>
      <rPr>
        <b/>
        <sz val="10"/>
        <color indexed="8"/>
        <rFont val="宋体"/>
        <charset val="0"/>
      </rPr>
      <t>　　</t>
    </r>
    <r>
      <rPr>
        <b/>
        <sz val="10"/>
        <color indexed="8"/>
        <rFont val="Calibri"/>
        <charset val="0"/>
      </rPr>
      <t>407001</t>
    </r>
  </si>
  <si>
    <r>
      <rPr>
        <b/>
        <sz val="10"/>
        <color indexed="8"/>
        <rFont val="宋体"/>
        <charset val="0"/>
      </rPr>
      <t>　　黄石经济技术开发区</t>
    </r>
    <r>
      <rPr>
        <b/>
        <sz val="10"/>
        <color indexed="8"/>
        <rFont val="Calibri"/>
        <charset val="0"/>
      </rPr>
      <t>·</t>
    </r>
    <r>
      <rPr>
        <b/>
        <sz val="10"/>
        <color indexed="8"/>
        <rFont val="宋体"/>
        <charset val="0"/>
      </rPr>
      <t>铁山区应急管理局本级</t>
    </r>
  </si>
  <si>
    <r>
      <rPr>
        <sz val="10"/>
        <color indexed="8"/>
        <rFont val="宋体"/>
        <charset val="0"/>
      </rPr>
      <t>　　　</t>
    </r>
    <r>
      <rPr>
        <sz val="10"/>
        <color indexed="8"/>
        <rFont val="Calibri"/>
        <charset val="0"/>
      </rPr>
      <t>407001</t>
    </r>
  </si>
  <si>
    <r>
      <rPr>
        <sz val="10"/>
        <color indexed="8"/>
        <rFont val="宋体"/>
        <charset val="0"/>
      </rPr>
      <t>　　　黄石经济技术开发区</t>
    </r>
    <r>
      <rPr>
        <sz val="10"/>
        <color indexed="8"/>
        <rFont val="Calibri"/>
        <charset val="0"/>
      </rPr>
      <t>·</t>
    </r>
    <r>
      <rPr>
        <sz val="10"/>
        <color indexed="8"/>
        <rFont val="宋体"/>
        <charset val="0"/>
      </rPr>
      <t>铁山区应急管理局本级</t>
    </r>
  </si>
  <si>
    <t>2240101</t>
  </si>
  <si>
    <r>
      <rPr>
        <sz val="10"/>
        <color indexed="8"/>
        <rFont val="宋体"/>
        <charset val="0"/>
      </rPr>
      <t>黄石经济技术开发区</t>
    </r>
    <r>
      <rPr>
        <sz val="10"/>
        <color indexed="8"/>
        <rFont val="Calibri"/>
        <charset val="0"/>
      </rPr>
      <t>·</t>
    </r>
    <r>
      <rPr>
        <sz val="10"/>
        <color indexed="8"/>
        <rFont val="宋体"/>
        <charset val="0"/>
      </rPr>
      <t>铁山区应急管理局本级</t>
    </r>
    <r>
      <rPr>
        <sz val="10"/>
        <color indexed="8"/>
        <rFont val="Calibri"/>
        <charset val="0"/>
      </rPr>
      <t>_</t>
    </r>
    <r>
      <rPr>
        <sz val="10"/>
        <color indexed="8"/>
        <rFont val="宋体"/>
        <charset val="0"/>
      </rPr>
      <t>住房公积金</t>
    </r>
  </si>
  <si>
    <r>
      <rPr>
        <sz val="10"/>
        <color indexed="8"/>
        <rFont val="宋体"/>
        <charset val="0"/>
      </rPr>
      <t>黄石经济技术开发区</t>
    </r>
    <r>
      <rPr>
        <sz val="10"/>
        <color indexed="8"/>
        <rFont val="Calibri"/>
        <charset val="0"/>
      </rPr>
      <t>·</t>
    </r>
    <r>
      <rPr>
        <sz val="10"/>
        <color indexed="8"/>
        <rFont val="宋体"/>
        <charset val="0"/>
      </rPr>
      <t>铁山区应急管理局本级</t>
    </r>
    <r>
      <rPr>
        <sz val="10"/>
        <color indexed="8"/>
        <rFont val="Calibri"/>
        <charset val="0"/>
      </rPr>
      <t>_</t>
    </r>
    <r>
      <rPr>
        <sz val="10"/>
        <color indexed="8"/>
        <rFont val="宋体"/>
        <charset val="0"/>
      </rPr>
      <t>社会保障缴费</t>
    </r>
  </si>
  <si>
    <r>
      <rPr>
        <sz val="10"/>
        <color indexed="8"/>
        <rFont val="宋体"/>
        <charset val="0"/>
      </rPr>
      <t>黄石经济技术开发区</t>
    </r>
    <r>
      <rPr>
        <sz val="10"/>
        <color indexed="8"/>
        <rFont val="Calibri"/>
        <charset val="0"/>
      </rPr>
      <t>·</t>
    </r>
    <r>
      <rPr>
        <sz val="10"/>
        <color indexed="8"/>
        <rFont val="宋体"/>
        <charset val="0"/>
      </rPr>
      <t>铁山区应急管理局本级</t>
    </r>
    <r>
      <rPr>
        <sz val="10"/>
        <color indexed="8"/>
        <rFont val="Calibri"/>
        <charset val="0"/>
      </rPr>
      <t>_</t>
    </r>
    <r>
      <rPr>
        <sz val="10"/>
        <color indexed="8"/>
        <rFont val="宋体"/>
        <charset val="0"/>
      </rPr>
      <t>交通费</t>
    </r>
  </si>
  <si>
    <r>
      <rPr>
        <sz val="10"/>
        <color indexed="8"/>
        <rFont val="宋体"/>
        <charset val="0"/>
      </rPr>
      <t>黄石经济技术开发区</t>
    </r>
    <r>
      <rPr>
        <sz val="10"/>
        <color indexed="8"/>
        <rFont val="Calibri"/>
        <charset val="0"/>
      </rPr>
      <t>·</t>
    </r>
    <r>
      <rPr>
        <sz val="10"/>
        <color indexed="8"/>
        <rFont val="宋体"/>
        <charset val="0"/>
      </rPr>
      <t>铁山区应急管理局本级</t>
    </r>
    <r>
      <rPr>
        <sz val="10"/>
        <color indexed="8"/>
        <rFont val="Calibri"/>
        <charset val="0"/>
      </rPr>
      <t>_</t>
    </r>
    <r>
      <rPr>
        <sz val="10"/>
        <color indexed="8"/>
        <rFont val="宋体"/>
        <charset val="0"/>
      </rPr>
      <t>工资福利支出</t>
    </r>
  </si>
  <si>
    <r>
      <rPr>
        <sz val="10"/>
        <color indexed="8"/>
        <rFont val="宋体"/>
        <charset val="0"/>
      </rPr>
      <t>黄石经济技术开发区</t>
    </r>
    <r>
      <rPr>
        <sz val="10"/>
        <color indexed="8"/>
        <rFont val="Calibri"/>
        <charset val="0"/>
      </rPr>
      <t>·</t>
    </r>
    <r>
      <rPr>
        <sz val="10"/>
        <color indexed="8"/>
        <rFont val="宋体"/>
        <charset val="0"/>
      </rPr>
      <t>铁山区应急管理局本级</t>
    </r>
    <r>
      <rPr>
        <sz val="10"/>
        <color indexed="8"/>
        <rFont val="Calibri"/>
        <charset val="0"/>
      </rPr>
      <t>_</t>
    </r>
    <r>
      <rPr>
        <sz val="10"/>
        <color indexed="8"/>
        <rFont val="宋体"/>
        <charset val="0"/>
      </rPr>
      <t>职工福利费</t>
    </r>
  </si>
  <si>
    <r>
      <rPr>
        <sz val="10"/>
        <color indexed="8"/>
        <rFont val="宋体"/>
        <charset val="0"/>
      </rPr>
      <t>黄石经济技术开发区</t>
    </r>
    <r>
      <rPr>
        <sz val="10"/>
        <color indexed="8"/>
        <rFont val="Calibri"/>
        <charset val="0"/>
      </rPr>
      <t>·</t>
    </r>
    <r>
      <rPr>
        <sz val="10"/>
        <color indexed="8"/>
        <rFont val="宋体"/>
        <charset val="0"/>
      </rPr>
      <t>铁山区应急管理局本级</t>
    </r>
    <r>
      <rPr>
        <sz val="10"/>
        <color indexed="8"/>
        <rFont val="Calibri"/>
        <charset val="0"/>
      </rPr>
      <t>_</t>
    </r>
    <r>
      <rPr>
        <sz val="10"/>
        <color indexed="8"/>
        <rFont val="宋体"/>
        <charset val="0"/>
      </rPr>
      <t>在职人员公用经费</t>
    </r>
  </si>
  <si>
    <r>
      <rPr>
        <b/>
        <sz val="10"/>
        <color indexed="8"/>
        <rFont val="宋体"/>
        <charset val="0"/>
      </rPr>
      <t>　　</t>
    </r>
    <r>
      <rPr>
        <b/>
        <sz val="10"/>
        <color indexed="8"/>
        <rFont val="Calibri"/>
        <charset val="0"/>
      </rPr>
      <t>408001</t>
    </r>
  </si>
  <si>
    <r>
      <rPr>
        <b/>
        <sz val="10"/>
        <color indexed="8"/>
        <rFont val="宋体"/>
        <charset val="0"/>
      </rPr>
      <t>　　黄石市生态环境局开发区</t>
    </r>
    <r>
      <rPr>
        <b/>
        <sz val="10"/>
        <color indexed="8"/>
        <rFont val="Calibri"/>
        <charset val="0"/>
      </rPr>
      <t>·</t>
    </r>
    <r>
      <rPr>
        <b/>
        <sz val="10"/>
        <color indexed="8"/>
        <rFont val="宋体"/>
        <charset val="0"/>
      </rPr>
      <t>铁山区分局本级</t>
    </r>
  </si>
  <si>
    <r>
      <rPr>
        <sz val="10"/>
        <color indexed="8"/>
        <rFont val="宋体"/>
        <charset val="0"/>
      </rPr>
      <t>　　　</t>
    </r>
    <r>
      <rPr>
        <sz val="10"/>
        <color indexed="8"/>
        <rFont val="Calibri"/>
        <charset val="0"/>
      </rPr>
      <t>408001</t>
    </r>
  </si>
  <si>
    <r>
      <rPr>
        <sz val="10"/>
        <color indexed="8"/>
        <rFont val="宋体"/>
        <charset val="0"/>
      </rPr>
      <t>　　　黄石市生态环境局开发区</t>
    </r>
    <r>
      <rPr>
        <sz val="10"/>
        <color indexed="8"/>
        <rFont val="Calibri"/>
        <charset val="0"/>
      </rPr>
      <t>·</t>
    </r>
    <r>
      <rPr>
        <sz val="10"/>
        <color indexed="8"/>
        <rFont val="宋体"/>
        <charset val="0"/>
      </rPr>
      <t>铁山区分局本级</t>
    </r>
  </si>
  <si>
    <t>2110101</t>
  </si>
  <si>
    <r>
      <rPr>
        <sz val="10"/>
        <color indexed="8"/>
        <rFont val="宋体"/>
        <charset val="0"/>
      </rPr>
      <t>黄石市生态环境局开发区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离退休人员公用经费</t>
    </r>
  </si>
  <si>
    <r>
      <rPr>
        <sz val="10"/>
        <color indexed="8"/>
        <rFont val="宋体"/>
        <charset val="0"/>
      </rPr>
      <t>黄石市生态环境局开发区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社会保障缴费</t>
    </r>
  </si>
  <si>
    <r>
      <rPr>
        <sz val="10"/>
        <color indexed="8"/>
        <rFont val="宋体"/>
        <charset val="0"/>
      </rPr>
      <t>黄石市生态环境局开发区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职工福利费</t>
    </r>
  </si>
  <si>
    <r>
      <rPr>
        <sz val="10"/>
        <color indexed="8"/>
        <rFont val="宋体"/>
        <charset val="0"/>
      </rPr>
      <t>黄石市生态环境局开发区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离退休费</t>
    </r>
  </si>
  <si>
    <r>
      <rPr>
        <sz val="10"/>
        <color indexed="8"/>
        <rFont val="宋体"/>
        <charset val="0"/>
      </rPr>
      <t>黄石市生态环境局开发区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住房公积金</t>
    </r>
  </si>
  <si>
    <r>
      <rPr>
        <sz val="10"/>
        <color indexed="8"/>
        <rFont val="宋体"/>
        <charset val="0"/>
      </rPr>
      <t>黄石市生态环境局开发区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在职人员公用经费</t>
    </r>
  </si>
  <si>
    <r>
      <rPr>
        <sz val="10"/>
        <color indexed="8"/>
        <rFont val="宋体"/>
        <charset val="0"/>
      </rPr>
      <t>黄石市生态环境局开发区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工资福利支出</t>
    </r>
  </si>
  <si>
    <r>
      <rPr>
        <sz val="10"/>
        <color indexed="8"/>
        <rFont val="宋体"/>
        <charset val="0"/>
      </rPr>
      <t>黄石市生态环境局开发区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交通费</t>
    </r>
  </si>
  <si>
    <r>
      <rPr>
        <sz val="10"/>
        <color indexed="8"/>
        <rFont val="宋体"/>
        <charset val="0"/>
      </rPr>
      <t>黄石市生态环境局开发区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其他对个人和家庭的补助</t>
    </r>
  </si>
  <si>
    <r>
      <rPr>
        <b/>
        <sz val="10"/>
        <color indexed="8"/>
        <rFont val="宋体"/>
        <charset val="0"/>
      </rPr>
      <t>　　</t>
    </r>
    <r>
      <rPr>
        <b/>
        <sz val="10"/>
        <color indexed="8"/>
        <rFont val="Calibri"/>
        <charset val="0"/>
      </rPr>
      <t>409001</t>
    </r>
  </si>
  <si>
    <r>
      <rPr>
        <b/>
        <sz val="10"/>
        <color indexed="8"/>
        <rFont val="宋体"/>
        <charset val="0"/>
      </rPr>
      <t>　　黄石市自然资源和规划局开发区</t>
    </r>
    <r>
      <rPr>
        <b/>
        <sz val="10"/>
        <color indexed="8"/>
        <rFont val="Calibri"/>
        <charset val="0"/>
      </rPr>
      <t>·</t>
    </r>
    <r>
      <rPr>
        <b/>
        <sz val="10"/>
        <color indexed="8"/>
        <rFont val="宋体"/>
        <charset val="0"/>
      </rPr>
      <t>铁山区分局本级</t>
    </r>
  </si>
  <si>
    <r>
      <rPr>
        <sz val="10"/>
        <color indexed="8"/>
        <rFont val="宋体"/>
        <charset val="0"/>
      </rPr>
      <t>　　　</t>
    </r>
    <r>
      <rPr>
        <sz val="10"/>
        <color indexed="8"/>
        <rFont val="Calibri"/>
        <charset val="0"/>
      </rPr>
      <t>409001</t>
    </r>
  </si>
  <si>
    <r>
      <rPr>
        <sz val="10"/>
        <color indexed="8"/>
        <rFont val="宋体"/>
        <charset val="0"/>
      </rPr>
      <t>　　　黄石市自然资源和规划局开发区</t>
    </r>
    <r>
      <rPr>
        <sz val="10"/>
        <color indexed="8"/>
        <rFont val="Calibri"/>
        <charset val="0"/>
      </rPr>
      <t>·</t>
    </r>
    <r>
      <rPr>
        <sz val="10"/>
        <color indexed="8"/>
        <rFont val="宋体"/>
        <charset val="0"/>
      </rPr>
      <t>铁山区分局本级</t>
    </r>
  </si>
  <si>
    <t>2200101</t>
  </si>
  <si>
    <r>
      <rPr>
        <sz val="10"/>
        <color indexed="8"/>
        <rFont val="宋体"/>
        <charset val="0"/>
      </rPr>
      <t>黄石市自然资源和规划局开发区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职工福利费</t>
    </r>
  </si>
  <si>
    <r>
      <rPr>
        <sz val="10"/>
        <color indexed="8"/>
        <rFont val="宋体"/>
        <charset val="0"/>
      </rPr>
      <t>黄石市自然资源和规划局开发区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离退休费</t>
    </r>
  </si>
  <si>
    <r>
      <rPr>
        <sz val="10"/>
        <color indexed="8"/>
        <rFont val="宋体"/>
        <charset val="0"/>
      </rPr>
      <t>黄石市自然资源和规划局开发区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离退休人员公用经费</t>
    </r>
  </si>
  <si>
    <r>
      <rPr>
        <sz val="10"/>
        <color indexed="8"/>
        <rFont val="宋体"/>
        <charset val="0"/>
      </rPr>
      <t>黄石市自然资源和规划局开发区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在职人员公用经费</t>
    </r>
  </si>
  <si>
    <r>
      <rPr>
        <sz val="10"/>
        <color indexed="8"/>
        <rFont val="宋体"/>
        <charset val="0"/>
      </rPr>
      <t>黄石市自然资源和规划局开发区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社会保障缴费</t>
    </r>
  </si>
  <si>
    <r>
      <rPr>
        <sz val="10"/>
        <color indexed="8"/>
        <rFont val="宋体"/>
        <charset val="0"/>
      </rPr>
      <t>黄石市自然资源和规划局开发区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工资福利支出</t>
    </r>
  </si>
  <si>
    <r>
      <rPr>
        <sz val="10"/>
        <color indexed="8"/>
        <rFont val="宋体"/>
        <charset val="0"/>
      </rPr>
      <t>黄石市自然资源和规划局开发区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其他对个人和家庭的补助</t>
    </r>
  </si>
  <si>
    <r>
      <rPr>
        <sz val="10"/>
        <color indexed="8"/>
        <rFont val="宋体"/>
        <charset val="0"/>
      </rPr>
      <t>黄石市自然资源和规划局开发区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交通费</t>
    </r>
  </si>
  <si>
    <r>
      <rPr>
        <sz val="10"/>
        <color indexed="8"/>
        <rFont val="宋体"/>
        <charset val="0"/>
      </rPr>
      <t>黄石市自然资源和规划局开发区</t>
    </r>
    <r>
      <rPr>
        <sz val="10"/>
        <color indexed="8"/>
        <rFont val="Calibri"/>
        <charset val="0"/>
      </rPr>
      <t>·</t>
    </r>
    <r>
      <rPr>
        <sz val="10"/>
        <color indexed="8"/>
        <rFont val="宋体"/>
        <charset val="0"/>
      </rPr>
      <t>铁山区分局本级</t>
    </r>
    <r>
      <rPr>
        <sz val="10"/>
        <color indexed="8"/>
        <rFont val="Calibri"/>
        <charset val="0"/>
      </rPr>
      <t>_</t>
    </r>
    <r>
      <rPr>
        <sz val="10"/>
        <color indexed="8"/>
        <rFont val="宋体"/>
        <charset val="0"/>
      </rPr>
      <t>住房公积金</t>
    </r>
  </si>
  <si>
    <r>
      <rPr>
        <b/>
        <sz val="10"/>
        <color indexed="8"/>
        <rFont val="宋体"/>
        <charset val="0"/>
      </rPr>
      <t>　　</t>
    </r>
    <r>
      <rPr>
        <b/>
        <sz val="10"/>
        <color indexed="8"/>
        <rFont val="Calibri"/>
        <charset val="0"/>
      </rPr>
      <t>410001</t>
    </r>
  </si>
  <si>
    <r>
      <rPr>
        <sz val="10"/>
        <color indexed="8"/>
        <rFont val="宋体"/>
        <charset val="0"/>
      </rPr>
      <t>　　　</t>
    </r>
    <r>
      <rPr>
        <sz val="10"/>
        <color indexed="8"/>
        <rFont val="Calibri"/>
        <charset val="0"/>
      </rPr>
      <t>410001</t>
    </r>
  </si>
  <si>
    <t>　　　黄石经济技术开发区土地收购储备中心本级</t>
  </si>
  <si>
    <r>
      <rPr>
        <sz val="10"/>
        <color indexed="8"/>
        <rFont val="宋体"/>
        <charset val="0"/>
      </rPr>
      <t>黄石经济技术开发区土地收购储备中心本级</t>
    </r>
    <r>
      <rPr>
        <sz val="10"/>
        <color indexed="8"/>
        <rFont val="Calibri"/>
        <charset val="0"/>
      </rPr>
      <t>_</t>
    </r>
    <r>
      <rPr>
        <sz val="10"/>
        <color indexed="8"/>
        <rFont val="宋体"/>
        <charset val="0"/>
      </rPr>
      <t>工资福利支出</t>
    </r>
  </si>
  <si>
    <r>
      <rPr>
        <sz val="10"/>
        <color indexed="8"/>
        <rFont val="宋体"/>
        <charset val="0"/>
      </rPr>
      <t>黄石经济技术开发区土地收购储备中心本级</t>
    </r>
    <r>
      <rPr>
        <sz val="10"/>
        <color indexed="8"/>
        <rFont val="Calibri"/>
        <charset val="0"/>
      </rPr>
      <t>_</t>
    </r>
    <r>
      <rPr>
        <sz val="10"/>
        <color indexed="8"/>
        <rFont val="宋体"/>
        <charset val="0"/>
      </rPr>
      <t>其他对个人和家庭的补助</t>
    </r>
  </si>
  <si>
    <r>
      <rPr>
        <sz val="10"/>
        <color indexed="8"/>
        <rFont val="宋体"/>
        <charset val="0"/>
      </rPr>
      <t>黄石经济技术开发区土地收购储备中心本级</t>
    </r>
    <r>
      <rPr>
        <sz val="10"/>
        <color indexed="8"/>
        <rFont val="Calibri"/>
        <charset val="0"/>
      </rPr>
      <t>_</t>
    </r>
    <r>
      <rPr>
        <sz val="10"/>
        <color indexed="8"/>
        <rFont val="宋体"/>
        <charset val="0"/>
      </rPr>
      <t>职工福利费</t>
    </r>
  </si>
  <si>
    <r>
      <rPr>
        <sz val="10"/>
        <color indexed="8"/>
        <rFont val="宋体"/>
        <charset val="0"/>
      </rPr>
      <t>黄石经济技术开发区土地收购储备中心本级</t>
    </r>
    <r>
      <rPr>
        <sz val="10"/>
        <color indexed="8"/>
        <rFont val="Calibri"/>
        <charset val="0"/>
      </rPr>
      <t>_</t>
    </r>
    <r>
      <rPr>
        <sz val="10"/>
        <color indexed="8"/>
        <rFont val="宋体"/>
        <charset val="0"/>
      </rPr>
      <t>住房公积金</t>
    </r>
  </si>
  <si>
    <r>
      <rPr>
        <sz val="10"/>
        <color indexed="8"/>
        <rFont val="宋体"/>
        <charset val="0"/>
      </rPr>
      <t>黄石经济技术开发区土地收购储备中心本级</t>
    </r>
    <r>
      <rPr>
        <sz val="10"/>
        <color indexed="8"/>
        <rFont val="Calibri"/>
        <charset val="0"/>
      </rPr>
      <t>_</t>
    </r>
    <r>
      <rPr>
        <sz val="10"/>
        <color indexed="8"/>
        <rFont val="宋体"/>
        <charset val="0"/>
      </rPr>
      <t>在职人员公用经费</t>
    </r>
  </si>
  <si>
    <r>
      <rPr>
        <sz val="10"/>
        <color indexed="8"/>
        <rFont val="宋体"/>
        <charset val="0"/>
      </rPr>
      <t>黄石经济技术开发区土地收购储备中心本级</t>
    </r>
    <r>
      <rPr>
        <sz val="10"/>
        <color indexed="8"/>
        <rFont val="Calibri"/>
        <charset val="0"/>
      </rPr>
      <t>_</t>
    </r>
    <r>
      <rPr>
        <sz val="10"/>
        <color indexed="8"/>
        <rFont val="宋体"/>
        <charset val="0"/>
      </rPr>
      <t>社会保障缴费</t>
    </r>
  </si>
  <si>
    <r>
      <rPr>
        <sz val="10"/>
        <color indexed="8"/>
        <rFont val="宋体"/>
        <charset val="0"/>
      </rPr>
      <t>黄石经济技术开发区土地收购储备中心本级</t>
    </r>
    <r>
      <rPr>
        <sz val="10"/>
        <color indexed="8"/>
        <rFont val="Calibri"/>
        <charset val="0"/>
      </rPr>
      <t>_</t>
    </r>
    <r>
      <rPr>
        <sz val="10"/>
        <color indexed="8"/>
        <rFont val="宋体"/>
        <charset val="0"/>
      </rPr>
      <t>交通费</t>
    </r>
  </si>
  <si>
    <r>
      <rPr>
        <b/>
        <sz val="10"/>
        <color indexed="8"/>
        <rFont val="宋体"/>
        <charset val="0"/>
      </rPr>
      <t>　　</t>
    </r>
    <r>
      <rPr>
        <b/>
        <sz val="10"/>
        <color indexed="8"/>
        <rFont val="Calibri"/>
        <charset val="0"/>
      </rPr>
      <t>601001</t>
    </r>
  </si>
  <si>
    <r>
      <rPr>
        <sz val="10"/>
        <color indexed="8"/>
        <rFont val="宋体"/>
        <charset val="0"/>
      </rPr>
      <t>　　　</t>
    </r>
    <r>
      <rPr>
        <sz val="10"/>
        <color indexed="8"/>
        <rFont val="Calibri"/>
        <charset val="0"/>
      </rPr>
      <t>601001</t>
    </r>
  </si>
  <si>
    <t>　　　大冶市汪仁镇人民政府本级</t>
  </si>
  <si>
    <r>
      <rPr>
        <sz val="10"/>
        <color indexed="8"/>
        <rFont val="宋体"/>
        <charset val="0"/>
      </rPr>
      <t>大冶市汪仁镇人民政府本级</t>
    </r>
    <r>
      <rPr>
        <sz val="10"/>
        <color indexed="8"/>
        <rFont val="Calibri"/>
        <charset val="0"/>
      </rPr>
      <t>_</t>
    </r>
    <r>
      <rPr>
        <sz val="10"/>
        <color indexed="8"/>
        <rFont val="宋体"/>
        <charset val="0"/>
      </rPr>
      <t>社会保障缴费</t>
    </r>
  </si>
  <si>
    <t>2130104</t>
  </si>
  <si>
    <t>事业运行</t>
  </si>
  <si>
    <r>
      <rPr>
        <sz val="10"/>
        <color indexed="8"/>
        <rFont val="宋体"/>
        <charset val="0"/>
      </rPr>
      <t>大冶市汪仁镇人民政府本级</t>
    </r>
    <r>
      <rPr>
        <sz val="10"/>
        <color indexed="8"/>
        <rFont val="Calibri"/>
        <charset val="0"/>
      </rPr>
      <t>_</t>
    </r>
    <r>
      <rPr>
        <sz val="10"/>
        <color indexed="8"/>
        <rFont val="宋体"/>
        <charset val="0"/>
      </rPr>
      <t>离退休费</t>
    </r>
  </si>
  <si>
    <t>2130204</t>
  </si>
  <si>
    <t>事业机构</t>
  </si>
  <si>
    <r>
      <rPr>
        <sz val="10"/>
        <color indexed="8"/>
        <rFont val="宋体"/>
        <charset val="0"/>
      </rPr>
      <t>大冶市汪仁镇人民政府本级</t>
    </r>
    <r>
      <rPr>
        <sz val="10"/>
        <color indexed="8"/>
        <rFont val="Calibri"/>
        <charset val="0"/>
      </rPr>
      <t>_</t>
    </r>
    <r>
      <rPr>
        <sz val="10"/>
        <color indexed="8"/>
        <rFont val="宋体"/>
        <charset val="0"/>
      </rPr>
      <t>其他对个人和家庭的补助</t>
    </r>
  </si>
  <si>
    <r>
      <rPr>
        <sz val="10"/>
        <color indexed="8"/>
        <rFont val="宋体"/>
        <charset val="0"/>
      </rPr>
      <t>大冶市汪仁镇人民政府本级</t>
    </r>
    <r>
      <rPr>
        <sz val="10"/>
        <color indexed="8"/>
        <rFont val="Calibri"/>
        <charset val="0"/>
      </rPr>
      <t>_</t>
    </r>
    <r>
      <rPr>
        <sz val="10"/>
        <color indexed="8"/>
        <rFont val="宋体"/>
        <charset val="0"/>
      </rPr>
      <t>职工福利费</t>
    </r>
  </si>
  <si>
    <r>
      <rPr>
        <sz val="10"/>
        <color indexed="8"/>
        <rFont val="宋体"/>
        <charset val="0"/>
      </rPr>
      <t>大冶市汪仁镇人民政府本级</t>
    </r>
    <r>
      <rPr>
        <sz val="10"/>
        <color indexed="8"/>
        <rFont val="Calibri"/>
        <charset val="0"/>
      </rPr>
      <t>_</t>
    </r>
    <r>
      <rPr>
        <sz val="10"/>
        <color indexed="8"/>
        <rFont val="宋体"/>
        <charset val="0"/>
      </rPr>
      <t>工资福利支出</t>
    </r>
  </si>
  <si>
    <r>
      <rPr>
        <sz val="10"/>
        <color indexed="8"/>
        <rFont val="宋体"/>
        <charset val="0"/>
      </rPr>
      <t>大冶市汪仁镇人民政府本级</t>
    </r>
    <r>
      <rPr>
        <sz val="10"/>
        <color indexed="8"/>
        <rFont val="Calibri"/>
        <charset val="0"/>
      </rPr>
      <t>_</t>
    </r>
    <r>
      <rPr>
        <sz val="10"/>
        <color indexed="8"/>
        <rFont val="宋体"/>
        <charset val="0"/>
      </rPr>
      <t>离退休人员公用经费</t>
    </r>
  </si>
  <si>
    <r>
      <rPr>
        <sz val="10"/>
        <color indexed="8"/>
        <rFont val="宋体"/>
        <charset val="0"/>
      </rPr>
      <t>大冶市汪仁镇人民政府本级</t>
    </r>
    <r>
      <rPr>
        <sz val="10"/>
        <color indexed="8"/>
        <rFont val="Calibri"/>
        <charset val="0"/>
      </rPr>
      <t>_</t>
    </r>
    <r>
      <rPr>
        <sz val="10"/>
        <color indexed="8"/>
        <rFont val="宋体"/>
        <charset val="0"/>
      </rPr>
      <t>交通费</t>
    </r>
  </si>
  <si>
    <r>
      <rPr>
        <sz val="10"/>
        <color indexed="8"/>
        <rFont val="宋体"/>
        <charset val="0"/>
      </rPr>
      <t>大冶市汪仁镇人民政府本级</t>
    </r>
    <r>
      <rPr>
        <sz val="10"/>
        <color indexed="8"/>
        <rFont val="Calibri"/>
        <charset val="0"/>
      </rPr>
      <t>_</t>
    </r>
    <r>
      <rPr>
        <sz val="10"/>
        <color indexed="8"/>
        <rFont val="宋体"/>
        <charset val="0"/>
      </rPr>
      <t>住房公积金</t>
    </r>
  </si>
  <si>
    <r>
      <rPr>
        <sz val="10"/>
        <color indexed="8"/>
        <rFont val="宋体"/>
        <charset val="0"/>
      </rPr>
      <t>大冶市汪仁镇人民政府本级</t>
    </r>
    <r>
      <rPr>
        <sz val="10"/>
        <color indexed="8"/>
        <rFont val="Calibri"/>
        <charset val="0"/>
      </rPr>
      <t>_</t>
    </r>
    <r>
      <rPr>
        <sz val="10"/>
        <color indexed="8"/>
        <rFont val="宋体"/>
        <charset val="0"/>
      </rPr>
      <t>在职人员公用经费</t>
    </r>
  </si>
  <si>
    <t>2130302</t>
  </si>
  <si>
    <t>一般行政管理事务</t>
  </si>
  <si>
    <r>
      <rPr>
        <b/>
        <sz val="10"/>
        <color indexed="8"/>
        <rFont val="宋体"/>
        <charset val="0"/>
      </rPr>
      <t>　　</t>
    </r>
    <r>
      <rPr>
        <b/>
        <sz val="10"/>
        <color indexed="8"/>
        <rFont val="Calibri"/>
        <charset val="0"/>
      </rPr>
      <t>601002</t>
    </r>
  </si>
  <si>
    <r>
      <rPr>
        <sz val="10"/>
        <color indexed="8"/>
        <rFont val="宋体"/>
        <charset val="0"/>
      </rPr>
      <t>　　　</t>
    </r>
    <r>
      <rPr>
        <sz val="10"/>
        <color indexed="8"/>
        <rFont val="Calibri"/>
        <charset val="0"/>
      </rPr>
      <t>601002</t>
    </r>
  </si>
  <si>
    <t>　　　大冶市汪仁镇财政所</t>
  </si>
  <si>
    <t>2010650</t>
  </si>
  <si>
    <r>
      <rPr>
        <sz val="10"/>
        <color indexed="8"/>
        <rFont val="宋体"/>
        <charset val="0"/>
      </rPr>
      <t>大冶市汪仁镇财政所</t>
    </r>
    <r>
      <rPr>
        <sz val="10"/>
        <color indexed="8"/>
        <rFont val="Calibri"/>
        <charset val="0"/>
      </rPr>
      <t>_</t>
    </r>
    <r>
      <rPr>
        <sz val="10"/>
        <color indexed="8"/>
        <rFont val="宋体"/>
        <charset val="0"/>
      </rPr>
      <t>住房公积金</t>
    </r>
  </si>
  <si>
    <r>
      <rPr>
        <sz val="10"/>
        <color indexed="8"/>
        <rFont val="宋体"/>
        <charset val="0"/>
      </rPr>
      <t>大冶市汪仁镇财政所</t>
    </r>
    <r>
      <rPr>
        <sz val="10"/>
        <color indexed="8"/>
        <rFont val="Calibri"/>
        <charset val="0"/>
      </rPr>
      <t>_</t>
    </r>
    <r>
      <rPr>
        <sz val="10"/>
        <color indexed="8"/>
        <rFont val="宋体"/>
        <charset val="0"/>
      </rPr>
      <t>交通费</t>
    </r>
  </si>
  <si>
    <r>
      <rPr>
        <sz val="10"/>
        <color indexed="8"/>
        <rFont val="宋体"/>
        <charset val="0"/>
      </rPr>
      <t>大冶市汪仁镇财政所</t>
    </r>
    <r>
      <rPr>
        <sz val="10"/>
        <color indexed="8"/>
        <rFont val="Calibri"/>
        <charset val="0"/>
      </rPr>
      <t>_</t>
    </r>
    <r>
      <rPr>
        <sz val="10"/>
        <color indexed="8"/>
        <rFont val="宋体"/>
        <charset val="0"/>
      </rPr>
      <t>社会保障缴费</t>
    </r>
  </si>
  <si>
    <r>
      <rPr>
        <sz val="10"/>
        <color indexed="8"/>
        <rFont val="宋体"/>
        <charset val="0"/>
      </rPr>
      <t>大冶市汪仁镇财政所</t>
    </r>
    <r>
      <rPr>
        <sz val="10"/>
        <color indexed="8"/>
        <rFont val="Calibri"/>
        <charset val="0"/>
      </rPr>
      <t>_</t>
    </r>
    <r>
      <rPr>
        <sz val="10"/>
        <color indexed="8"/>
        <rFont val="宋体"/>
        <charset val="0"/>
      </rPr>
      <t>在职人员公用经费</t>
    </r>
  </si>
  <si>
    <r>
      <rPr>
        <sz val="10"/>
        <color indexed="8"/>
        <rFont val="宋体"/>
        <charset val="0"/>
      </rPr>
      <t>大冶市汪仁镇财政所</t>
    </r>
    <r>
      <rPr>
        <sz val="10"/>
        <color indexed="8"/>
        <rFont val="Calibri"/>
        <charset val="0"/>
      </rPr>
      <t>_</t>
    </r>
    <r>
      <rPr>
        <sz val="10"/>
        <color indexed="8"/>
        <rFont val="宋体"/>
        <charset val="0"/>
      </rPr>
      <t>其他对个人和家庭的补助</t>
    </r>
  </si>
  <si>
    <r>
      <rPr>
        <sz val="10"/>
        <color indexed="8"/>
        <rFont val="宋体"/>
        <charset val="0"/>
      </rPr>
      <t>大冶市汪仁镇财政所</t>
    </r>
    <r>
      <rPr>
        <sz val="10"/>
        <color indexed="8"/>
        <rFont val="Calibri"/>
        <charset val="0"/>
      </rPr>
      <t>_</t>
    </r>
    <r>
      <rPr>
        <sz val="10"/>
        <color indexed="8"/>
        <rFont val="宋体"/>
        <charset val="0"/>
      </rPr>
      <t>离退休费</t>
    </r>
  </si>
  <si>
    <r>
      <rPr>
        <sz val="10"/>
        <color indexed="8"/>
        <rFont val="宋体"/>
        <charset val="0"/>
      </rPr>
      <t>大冶市汪仁镇财政所</t>
    </r>
    <r>
      <rPr>
        <sz val="10"/>
        <color indexed="8"/>
        <rFont val="Calibri"/>
        <charset val="0"/>
      </rPr>
      <t>_</t>
    </r>
    <r>
      <rPr>
        <sz val="10"/>
        <color indexed="8"/>
        <rFont val="宋体"/>
        <charset val="0"/>
      </rPr>
      <t>工资福利支出</t>
    </r>
  </si>
  <si>
    <r>
      <rPr>
        <sz val="10"/>
        <color indexed="8"/>
        <rFont val="宋体"/>
        <charset val="0"/>
      </rPr>
      <t>大冶市汪仁镇财政所</t>
    </r>
    <r>
      <rPr>
        <sz val="10"/>
        <color indexed="8"/>
        <rFont val="Calibri"/>
        <charset val="0"/>
      </rPr>
      <t>_</t>
    </r>
    <r>
      <rPr>
        <sz val="10"/>
        <color indexed="8"/>
        <rFont val="宋体"/>
        <charset val="0"/>
      </rPr>
      <t>职工福利费</t>
    </r>
  </si>
  <si>
    <r>
      <rPr>
        <sz val="10"/>
        <color indexed="8"/>
        <rFont val="宋体"/>
        <charset val="0"/>
      </rPr>
      <t>大冶市汪仁镇财政所</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</si>
  <si>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602001</t>
    </r>
  </si>
  <si>
    <r>
      <rPr>
        <sz val="10"/>
        <color indexed="8"/>
        <rFont val="宋体"/>
        <charset val="0"/>
      </rPr>
      <t>　　　</t>
    </r>
    <r>
      <rPr>
        <sz val="10"/>
        <color indexed="8"/>
        <rFont val="Calibri"/>
        <charset val="0"/>
      </rPr>
      <t>602001</t>
    </r>
  </si>
  <si>
    <t>　　　大冶市金山街道办事处本级</t>
  </si>
  <si>
    <r>
      <rPr>
        <sz val="10"/>
        <color indexed="8"/>
        <rFont val="宋体"/>
        <charset val="0"/>
      </rPr>
      <t>大冶市金山街道办事处本级</t>
    </r>
    <r>
      <rPr>
        <sz val="10"/>
        <color indexed="8"/>
        <rFont val="Calibri"/>
        <charset val="0"/>
      </rPr>
      <t>_</t>
    </r>
    <r>
      <rPr>
        <sz val="10"/>
        <color indexed="8"/>
        <rFont val="宋体"/>
        <charset val="0"/>
      </rPr>
      <t>住房公积金</t>
    </r>
  </si>
  <si>
    <r>
      <rPr>
        <sz val="10"/>
        <color indexed="8"/>
        <rFont val="宋体"/>
        <charset val="0"/>
      </rPr>
      <t>大冶市金山街道办事处本级</t>
    </r>
    <r>
      <rPr>
        <sz val="10"/>
        <color indexed="8"/>
        <rFont val="Calibri"/>
        <charset val="0"/>
      </rPr>
      <t>_</t>
    </r>
    <r>
      <rPr>
        <sz val="10"/>
        <color indexed="8"/>
        <rFont val="宋体"/>
        <charset val="0"/>
      </rPr>
      <t>社会保障缴费</t>
    </r>
  </si>
  <si>
    <r>
      <rPr>
        <sz val="10"/>
        <color indexed="8"/>
        <rFont val="宋体"/>
        <charset val="0"/>
      </rPr>
      <t>大冶市金山街道办事处本级</t>
    </r>
    <r>
      <rPr>
        <sz val="10"/>
        <color indexed="8"/>
        <rFont val="Calibri"/>
        <charset val="0"/>
      </rPr>
      <t>_</t>
    </r>
    <r>
      <rPr>
        <sz val="10"/>
        <color indexed="8"/>
        <rFont val="宋体"/>
        <charset val="0"/>
      </rPr>
      <t>其他对个人和家庭的补助</t>
    </r>
  </si>
  <si>
    <r>
      <rPr>
        <sz val="10"/>
        <color indexed="8"/>
        <rFont val="宋体"/>
        <charset val="0"/>
      </rPr>
      <t>大冶市金山街道办事处本级</t>
    </r>
    <r>
      <rPr>
        <sz val="10"/>
        <color indexed="8"/>
        <rFont val="Calibri"/>
        <charset val="0"/>
      </rPr>
      <t>_</t>
    </r>
    <r>
      <rPr>
        <sz val="10"/>
        <color indexed="8"/>
        <rFont val="宋体"/>
        <charset val="0"/>
      </rPr>
      <t>离退休人员公用经费</t>
    </r>
  </si>
  <si>
    <r>
      <rPr>
        <sz val="10"/>
        <color indexed="8"/>
        <rFont val="宋体"/>
        <charset val="0"/>
      </rPr>
      <t>大冶市金山街道办事处本级</t>
    </r>
    <r>
      <rPr>
        <sz val="10"/>
        <color indexed="8"/>
        <rFont val="Calibri"/>
        <charset val="0"/>
      </rPr>
      <t>_</t>
    </r>
    <r>
      <rPr>
        <sz val="10"/>
        <color indexed="8"/>
        <rFont val="宋体"/>
        <charset val="0"/>
      </rPr>
      <t>在职人员公用经费</t>
    </r>
  </si>
  <si>
    <r>
      <rPr>
        <sz val="10"/>
        <color indexed="8"/>
        <rFont val="宋体"/>
        <charset val="0"/>
      </rPr>
      <t>大冶市金山街道办事处本级</t>
    </r>
    <r>
      <rPr>
        <sz val="10"/>
        <color indexed="8"/>
        <rFont val="Calibri"/>
        <charset val="0"/>
      </rPr>
      <t>_</t>
    </r>
    <r>
      <rPr>
        <sz val="10"/>
        <color indexed="8"/>
        <rFont val="宋体"/>
        <charset val="0"/>
      </rPr>
      <t>离退休费</t>
    </r>
  </si>
  <si>
    <r>
      <rPr>
        <sz val="10"/>
        <color indexed="8"/>
        <rFont val="宋体"/>
        <charset val="0"/>
      </rPr>
      <t>大冶市金山街道办事处本级</t>
    </r>
    <r>
      <rPr>
        <sz val="10"/>
        <color indexed="8"/>
        <rFont val="Calibri"/>
        <charset val="0"/>
      </rPr>
      <t>_</t>
    </r>
    <r>
      <rPr>
        <sz val="10"/>
        <color indexed="8"/>
        <rFont val="宋体"/>
        <charset val="0"/>
      </rPr>
      <t>职工福利费</t>
    </r>
  </si>
  <si>
    <r>
      <rPr>
        <sz val="10"/>
        <color indexed="8"/>
        <rFont val="宋体"/>
        <charset val="0"/>
      </rPr>
      <t>大冶市金山街道办事处本级</t>
    </r>
    <r>
      <rPr>
        <sz val="10"/>
        <color indexed="8"/>
        <rFont val="Calibri"/>
        <charset val="0"/>
      </rPr>
      <t>_</t>
    </r>
    <r>
      <rPr>
        <sz val="10"/>
        <color indexed="8"/>
        <rFont val="宋体"/>
        <charset val="0"/>
      </rPr>
      <t>交通费</t>
    </r>
  </si>
  <si>
    <r>
      <rPr>
        <sz val="10"/>
        <color indexed="8"/>
        <rFont val="宋体"/>
        <charset val="0"/>
      </rPr>
      <t>大冶市金山街道办事处本级</t>
    </r>
    <r>
      <rPr>
        <sz val="10"/>
        <color indexed="8"/>
        <rFont val="Calibri"/>
        <charset val="0"/>
      </rPr>
      <t>_</t>
    </r>
    <r>
      <rPr>
        <sz val="10"/>
        <color indexed="8"/>
        <rFont val="宋体"/>
        <charset val="0"/>
      </rPr>
      <t>工资福利支出</t>
    </r>
  </si>
  <si>
    <r>
      <rPr>
        <b/>
        <sz val="10"/>
        <color indexed="8"/>
        <rFont val="宋体"/>
        <charset val="0"/>
      </rPr>
      <t>　　</t>
    </r>
    <r>
      <rPr>
        <b/>
        <sz val="10"/>
        <color indexed="8"/>
        <rFont val="Calibri"/>
        <charset val="0"/>
      </rPr>
      <t>603001</t>
    </r>
  </si>
  <si>
    <r>
      <rPr>
        <sz val="10"/>
        <color indexed="8"/>
        <rFont val="宋体"/>
        <charset val="0"/>
      </rPr>
      <t>　　　</t>
    </r>
    <r>
      <rPr>
        <sz val="10"/>
        <color indexed="8"/>
        <rFont val="Calibri"/>
        <charset val="0"/>
      </rPr>
      <t>603001</t>
    </r>
  </si>
  <si>
    <t>　　　阳新县太子庙镇人民政府本级</t>
  </si>
  <si>
    <r>
      <rPr>
        <sz val="10"/>
        <color indexed="8"/>
        <rFont val="宋体"/>
        <charset val="0"/>
      </rPr>
      <t>阳新县太子庙镇人民政府本级</t>
    </r>
    <r>
      <rPr>
        <sz val="10"/>
        <color indexed="8"/>
        <rFont val="Calibri"/>
        <charset val="0"/>
      </rPr>
      <t>_</t>
    </r>
    <r>
      <rPr>
        <sz val="10"/>
        <color indexed="8"/>
        <rFont val="宋体"/>
        <charset val="0"/>
      </rPr>
      <t>离退休人员公用经费</t>
    </r>
  </si>
  <si>
    <t>2100499</t>
  </si>
  <si>
    <t>其他公共卫生支出</t>
  </si>
  <si>
    <r>
      <rPr>
        <sz val="10"/>
        <color indexed="8"/>
        <rFont val="宋体"/>
        <charset val="0"/>
      </rPr>
      <t>阳新县太子庙镇人民政府本级</t>
    </r>
    <r>
      <rPr>
        <sz val="10"/>
        <color indexed="8"/>
        <rFont val="Calibri"/>
        <charset val="0"/>
      </rPr>
      <t>_</t>
    </r>
    <r>
      <rPr>
        <sz val="10"/>
        <color indexed="8"/>
        <rFont val="宋体"/>
        <charset val="0"/>
      </rPr>
      <t>职工福利费</t>
    </r>
  </si>
  <si>
    <r>
      <rPr>
        <sz val="10"/>
        <color indexed="8"/>
        <rFont val="宋体"/>
        <charset val="0"/>
      </rPr>
      <t>阳新县太子庙镇人民政府本级</t>
    </r>
    <r>
      <rPr>
        <sz val="10"/>
        <color indexed="8"/>
        <rFont val="Calibri"/>
        <charset val="0"/>
      </rPr>
      <t>_</t>
    </r>
    <r>
      <rPr>
        <sz val="10"/>
        <color indexed="8"/>
        <rFont val="宋体"/>
        <charset val="0"/>
      </rPr>
      <t>住房公积金</t>
    </r>
  </si>
  <si>
    <r>
      <rPr>
        <sz val="10"/>
        <color indexed="8"/>
        <rFont val="宋体"/>
        <charset val="0"/>
      </rPr>
      <t>阳新县太子庙镇人民政府本级</t>
    </r>
    <r>
      <rPr>
        <sz val="10"/>
        <color indexed="8"/>
        <rFont val="Calibri"/>
        <charset val="0"/>
      </rPr>
      <t>_</t>
    </r>
    <r>
      <rPr>
        <sz val="10"/>
        <color indexed="8"/>
        <rFont val="宋体"/>
        <charset val="0"/>
      </rPr>
      <t>工资福利支出</t>
    </r>
  </si>
  <si>
    <t>2080150</t>
  </si>
  <si>
    <r>
      <rPr>
        <sz val="10"/>
        <color indexed="8"/>
        <rFont val="宋体"/>
        <charset val="0"/>
      </rPr>
      <t>阳新县太子庙镇人民政府本级</t>
    </r>
    <r>
      <rPr>
        <sz val="10"/>
        <color indexed="8"/>
        <rFont val="Calibri"/>
        <charset val="0"/>
      </rPr>
      <t>_</t>
    </r>
    <r>
      <rPr>
        <sz val="10"/>
        <color indexed="8"/>
        <rFont val="宋体"/>
        <charset val="0"/>
      </rPr>
      <t>在职人员公用经费</t>
    </r>
  </si>
  <si>
    <r>
      <rPr>
        <sz val="10"/>
        <color indexed="8"/>
        <rFont val="宋体"/>
        <charset val="0"/>
      </rPr>
      <t>阳新县太子庙镇人民政府本级</t>
    </r>
    <r>
      <rPr>
        <sz val="10"/>
        <color indexed="8"/>
        <rFont val="Calibri"/>
        <charset val="0"/>
      </rPr>
      <t>_</t>
    </r>
    <r>
      <rPr>
        <sz val="10"/>
        <color indexed="8"/>
        <rFont val="宋体"/>
        <charset val="0"/>
      </rPr>
      <t>其他对个人和家庭的补助</t>
    </r>
  </si>
  <si>
    <r>
      <rPr>
        <sz val="10"/>
        <color indexed="8"/>
        <rFont val="宋体"/>
        <charset val="0"/>
      </rPr>
      <t>阳新县太子庙镇人民政府本级</t>
    </r>
    <r>
      <rPr>
        <sz val="10"/>
        <color indexed="8"/>
        <rFont val="Calibri"/>
        <charset val="0"/>
      </rPr>
      <t>_</t>
    </r>
    <r>
      <rPr>
        <sz val="10"/>
        <color indexed="8"/>
        <rFont val="宋体"/>
        <charset val="0"/>
      </rPr>
      <t>社会保障缴费</t>
    </r>
  </si>
  <si>
    <r>
      <rPr>
        <sz val="10"/>
        <color indexed="8"/>
        <rFont val="宋体"/>
        <charset val="0"/>
      </rPr>
      <t>阳新县太子庙镇人民政府本级</t>
    </r>
    <r>
      <rPr>
        <sz val="10"/>
        <color indexed="8"/>
        <rFont val="Calibri"/>
        <charset val="0"/>
      </rPr>
      <t>_</t>
    </r>
    <r>
      <rPr>
        <sz val="10"/>
        <color indexed="8"/>
        <rFont val="宋体"/>
        <charset val="0"/>
      </rPr>
      <t>交通费</t>
    </r>
  </si>
  <si>
    <r>
      <rPr>
        <sz val="10"/>
        <color indexed="8"/>
        <rFont val="宋体"/>
        <charset val="0"/>
      </rPr>
      <t>阳新县太子庙镇人民政府本级</t>
    </r>
    <r>
      <rPr>
        <sz val="10"/>
        <color indexed="8"/>
        <rFont val="Calibri"/>
        <charset val="0"/>
      </rPr>
      <t>_</t>
    </r>
    <r>
      <rPr>
        <sz val="10"/>
        <color indexed="8"/>
        <rFont val="宋体"/>
        <charset val="0"/>
      </rPr>
      <t>离退休费</t>
    </r>
  </si>
  <si>
    <r>
      <rPr>
        <b/>
        <sz val="10"/>
        <color indexed="8"/>
        <rFont val="宋体"/>
        <charset val="0"/>
      </rPr>
      <t>　　</t>
    </r>
    <r>
      <rPr>
        <b/>
        <sz val="10"/>
        <color indexed="8"/>
        <rFont val="Calibri"/>
        <charset val="0"/>
      </rPr>
      <t>603002</t>
    </r>
  </si>
  <si>
    <r>
      <rPr>
        <sz val="10"/>
        <color indexed="8"/>
        <rFont val="宋体"/>
        <charset val="0"/>
      </rPr>
      <t>　　　</t>
    </r>
    <r>
      <rPr>
        <sz val="10"/>
        <color indexed="8"/>
        <rFont val="Calibri"/>
        <charset val="0"/>
      </rPr>
      <t>603002</t>
    </r>
  </si>
  <si>
    <t>　　　阳新县太子镇财经所</t>
  </si>
  <si>
    <r>
      <rPr>
        <sz val="10"/>
        <color indexed="8"/>
        <rFont val="宋体"/>
        <charset val="0"/>
      </rPr>
      <t>阳新县太子镇财政所</t>
    </r>
    <r>
      <rPr>
        <sz val="10"/>
        <color indexed="8"/>
        <rFont val="Calibri"/>
        <charset val="0"/>
      </rPr>
      <t>_</t>
    </r>
    <r>
      <rPr>
        <sz val="10"/>
        <color indexed="8"/>
        <rFont val="宋体"/>
        <charset val="0"/>
      </rPr>
      <t>离退休费</t>
    </r>
  </si>
  <si>
    <r>
      <rPr>
        <sz val="10"/>
        <color indexed="8"/>
        <rFont val="宋体"/>
        <charset val="0"/>
      </rPr>
      <t>阳新县太子镇财政所</t>
    </r>
    <r>
      <rPr>
        <sz val="10"/>
        <color indexed="8"/>
        <rFont val="Calibri"/>
        <charset val="0"/>
      </rPr>
      <t>_</t>
    </r>
    <r>
      <rPr>
        <sz val="10"/>
        <color indexed="8"/>
        <rFont val="宋体"/>
        <charset val="0"/>
      </rPr>
      <t>工资福利支出</t>
    </r>
  </si>
  <si>
    <r>
      <rPr>
        <sz val="10"/>
        <color indexed="8"/>
        <rFont val="宋体"/>
        <charset val="0"/>
      </rPr>
      <t>阳新县太子镇财政所</t>
    </r>
    <r>
      <rPr>
        <sz val="10"/>
        <color indexed="8"/>
        <rFont val="Calibri"/>
        <charset val="0"/>
      </rPr>
      <t>_</t>
    </r>
    <r>
      <rPr>
        <sz val="10"/>
        <color indexed="8"/>
        <rFont val="宋体"/>
        <charset val="0"/>
      </rPr>
      <t>在职人员公用经费</t>
    </r>
  </si>
  <si>
    <r>
      <rPr>
        <sz val="10"/>
        <color indexed="8"/>
        <rFont val="宋体"/>
        <charset val="0"/>
      </rPr>
      <t>阳新县太子镇财政所</t>
    </r>
    <r>
      <rPr>
        <sz val="10"/>
        <color indexed="8"/>
        <rFont val="Calibri"/>
        <charset val="0"/>
      </rPr>
      <t>_</t>
    </r>
    <r>
      <rPr>
        <sz val="10"/>
        <color indexed="8"/>
        <rFont val="宋体"/>
        <charset val="0"/>
      </rPr>
      <t>离退休人员公用经费</t>
    </r>
  </si>
  <si>
    <r>
      <rPr>
        <sz val="10"/>
        <color indexed="8"/>
        <rFont val="宋体"/>
        <charset val="0"/>
      </rPr>
      <t>阳新县太子镇财政所</t>
    </r>
    <r>
      <rPr>
        <sz val="10"/>
        <color indexed="8"/>
        <rFont val="Calibri"/>
        <charset val="0"/>
      </rPr>
      <t>_</t>
    </r>
    <r>
      <rPr>
        <sz val="10"/>
        <color indexed="8"/>
        <rFont val="宋体"/>
        <charset val="0"/>
      </rPr>
      <t>职工福利费</t>
    </r>
  </si>
  <si>
    <r>
      <rPr>
        <sz val="10"/>
        <color indexed="8"/>
        <rFont val="宋体"/>
        <charset val="0"/>
      </rPr>
      <t>阳新县太子镇财政所</t>
    </r>
    <r>
      <rPr>
        <sz val="10"/>
        <color indexed="8"/>
        <rFont val="Calibri"/>
        <charset val="0"/>
      </rPr>
      <t>_</t>
    </r>
    <r>
      <rPr>
        <sz val="10"/>
        <color indexed="8"/>
        <rFont val="宋体"/>
        <charset val="0"/>
      </rPr>
      <t>社会保障缴费</t>
    </r>
  </si>
  <si>
    <r>
      <rPr>
        <sz val="10"/>
        <color indexed="8"/>
        <rFont val="宋体"/>
        <charset val="0"/>
      </rPr>
      <t>阳新县太子镇财政所</t>
    </r>
    <r>
      <rPr>
        <sz val="10"/>
        <color indexed="8"/>
        <rFont val="Calibri"/>
        <charset val="0"/>
      </rPr>
      <t>_</t>
    </r>
    <r>
      <rPr>
        <sz val="10"/>
        <color indexed="8"/>
        <rFont val="宋体"/>
        <charset val="0"/>
      </rPr>
      <t>住房公积金</t>
    </r>
  </si>
  <si>
    <r>
      <rPr>
        <sz val="10"/>
        <color indexed="8"/>
        <rFont val="宋体"/>
        <charset val="0"/>
      </rPr>
      <t>阳新县太子镇财政所</t>
    </r>
    <r>
      <rPr>
        <sz val="10"/>
        <color indexed="8"/>
        <rFont val="Calibri"/>
        <charset val="0"/>
      </rPr>
      <t>_</t>
    </r>
    <r>
      <rPr>
        <sz val="10"/>
        <color indexed="8"/>
        <rFont val="宋体"/>
        <charset val="0"/>
      </rPr>
      <t>其他对个人和家庭的补助</t>
    </r>
  </si>
  <si>
    <r>
      <rPr>
        <b/>
        <sz val="10"/>
        <color indexed="8"/>
        <rFont val="宋体"/>
        <charset val="0"/>
      </rPr>
      <t>　　</t>
    </r>
    <r>
      <rPr>
        <b/>
        <sz val="10"/>
        <color indexed="8"/>
        <rFont val="Calibri"/>
        <charset val="0"/>
      </rPr>
      <t>604001</t>
    </r>
  </si>
  <si>
    <r>
      <rPr>
        <sz val="10"/>
        <color indexed="8"/>
        <rFont val="宋体"/>
        <charset val="0"/>
      </rPr>
      <t>　　　</t>
    </r>
    <r>
      <rPr>
        <sz val="10"/>
        <color indexed="8"/>
        <rFont val="Calibri"/>
        <charset val="0"/>
      </rPr>
      <t>604001</t>
    </r>
  </si>
  <si>
    <t>　　　阳新县大王殿镇人民政府本级</t>
  </si>
  <si>
    <r>
      <rPr>
        <sz val="10"/>
        <color indexed="8"/>
        <rFont val="宋体"/>
        <charset val="0"/>
      </rPr>
      <t>阳新县大王殿镇人民政府本级</t>
    </r>
    <r>
      <rPr>
        <sz val="10"/>
        <color indexed="8"/>
        <rFont val="Calibri"/>
        <charset val="0"/>
      </rPr>
      <t>_</t>
    </r>
    <r>
      <rPr>
        <sz val="10"/>
        <color indexed="8"/>
        <rFont val="宋体"/>
        <charset val="0"/>
      </rPr>
      <t>工资福利支出</t>
    </r>
  </si>
  <si>
    <r>
      <rPr>
        <sz val="10"/>
        <color indexed="8"/>
        <rFont val="宋体"/>
        <charset val="0"/>
      </rPr>
      <t>阳新县大王殿镇人民政府本级</t>
    </r>
    <r>
      <rPr>
        <sz val="10"/>
        <color indexed="8"/>
        <rFont val="Calibri"/>
        <charset val="0"/>
      </rPr>
      <t>_</t>
    </r>
    <r>
      <rPr>
        <sz val="10"/>
        <color indexed="8"/>
        <rFont val="宋体"/>
        <charset val="0"/>
      </rPr>
      <t>在职人员公用经费</t>
    </r>
  </si>
  <si>
    <r>
      <rPr>
        <sz val="10"/>
        <color indexed="8"/>
        <rFont val="宋体"/>
        <charset val="0"/>
      </rPr>
      <t>阳新县大王殿镇人民政府本级</t>
    </r>
    <r>
      <rPr>
        <sz val="10"/>
        <color indexed="8"/>
        <rFont val="Calibri"/>
        <charset val="0"/>
      </rPr>
      <t>_</t>
    </r>
    <r>
      <rPr>
        <sz val="10"/>
        <color indexed="8"/>
        <rFont val="宋体"/>
        <charset val="0"/>
      </rPr>
      <t>社会保障缴费</t>
    </r>
  </si>
  <si>
    <r>
      <rPr>
        <sz val="10"/>
        <color indexed="8"/>
        <rFont val="宋体"/>
        <charset val="0"/>
      </rPr>
      <t>阳新县大王殿镇人民政府本级</t>
    </r>
    <r>
      <rPr>
        <sz val="10"/>
        <color indexed="8"/>
        <rFont val="Calibri"/>
        <charset val="0"/>
      </rPr>
      <t>_</t>
    </r>
    <r>
      <rPr>
        <sz val="10"/>
        <color indexed="8"/>
        <rFont val="宋体"/>
        <charset val="0"/>
      </rPr>
      <t>职工福利费</t>
    </r>
  </si>
  <si>
    <r>
      <rPr>
        <sz val="10"/>
        <color indexed="8"/>
        <rFont val="宋体"/>
        <charset val="0"/>
      </rPr>
      <t>阳新县大王殿镇人民政府本级</t>
    </r>
    <r>
      <rPr>
        <sz val="10"/>
        <color indexed="8"/>
        <rFont val="Calibri"/>
        <charset val="0"/>
      </rPr>
      <t>_</t>
    </r>
    <r>
      <rPr>
        <sz val="10"/>
        <color indexed="8"/>
        <rFont val="宋体"/>
        <charset val="0"/>
      </rPr>
      <t>交通费</t>
    </r>
  </si>
  <si>
    <r>
      <rPr>
        <sz val="10"/>
        <color indexed="8"/>
        <rFont val="宋体"/>
        <charset val="0"/>
      </rPr>
      <t>阳新县大王殿镇人民政府本级</t>
    </r>
    <r>
      <rPr>
        <sz val="10"/>
        <color indexed="8"/>
        <rFont val="Calibri"/>
        <charset val="0"/>
      </rPr>
      <t>_</t>
    </r>
    <r>
      <rPr>
        <sz val="10"/>
        <color indexed="8"/>
        <rFont val="宋体"/>
        <charset val="0"/>
      </rPr>
      <t>离退休费</t>
    </r>
  </si>
  <si>
    <r>
      <rPr>
        <sz val="10"/>
        <color indexed="8"/>
        <rFont val="宋体"/>
        <charset val="0"/>
      </rPr>
      <t>阳新县大王殿镇人民政府本级</t>
    </r>
    <r>
      <rPr>
        <sz val="10"/>
        <color indexed="8"/>
        <rFont val="Calibri"/>
        <charset val="0"/>
      </rPr>
      <t>_</t>
    </r>
    <r>
      <rPr>
        <sz val="10"/>
        <color indexed="8"/>
        <rFont val="宋体"/>
        <charset val="0"/>
      </rPr>
      <t>住房公积金</t>
    </r>
  </si>
  <si>
    <r>
      <rPr>
        <sz val="10"/>
        <color indexed="8"/>
        <rFont val="宋体"/>
        <charset val="0"/>
      </rPr>
      <t>阳新县大王殿镇人民政府本级</t>
    </r>
    <r>
      <rPr>
        <sz val="10"/>
        <color indexed="8"/>
        <rFont val="Calibri"/>
        <charset val="0"/>
      </rPr>
      <t>_</t>
    </r>
    <r>
      <rPr>
        <sz val="10"/>
        <color indexed="8"/>
        <rFont val="宋体"/>
        <charset val="0"/>
      </rPr>
      <t>其他对个人和家庭的补助</t>
    </r>
  </si>
  <si>
    <r>
      <rPr>
        <sz val="10"/>
        <color indexed="8"/>
        <rFont val="宋体"/>
        <charset val="0"/>
      </rPr>
      <t>阳新县大王殿镇人民政府本级</t>
    </r>
    <r>
      <rPr>
        <sz val="10"/>
        <color indexed="8"/>
        <rFont val="Calibri"/>
        <charset val="0"/>
      </rPr>
      <t>_</t>
    </r>
    <r>
      <rPr>
        <sz val="10"/>
        <color indexed="8"/>
        <rFont val="宋体"/>
        <charset val="0"/>
      </rPr>
      <t>离退休人员公用经费</t>
    </r>
  </si>
  <si>
    <r>
      <rPr>
        <b/>
        <sz val="10"/>
        <color indexed="8"/>
        <rFont val="宋体"/>
        <charset val="0"/>
      </rPr>
      <t>　　</t>
    </r>
    <r>
      <rPr>
        <b/>
        <sz val="10"/>
        <color indexed="8"/>
        <rFont val="Calibri"/>
        <charset val="0"/>
      </rPr>
      <t>604002</t>
    </r>
  </si>
  <si>
    <r>
      <rPr>
        <sz val="10"/>
        <color indexed="8"/>
        <rFont val="宋体"/>
        <charset val="0"/>
      </rPr>
      <t>　　　</t>
    </r>
    <r>
      <rPr>
        <sz val="10"/>
        <color indexed="8"/>
        <rFont val="Calibri"/>
        <charset val="0"/>
      </rPr>
      <t>604002</t>
    </r>
  </si>
  <si>
    <t>　　　阳新县大王镇财政所</t>
  </si>
  <si>
    <r>
      <rPr>
        <sz val="10"/>
        <color indexed="8"/>
        <rFont val="宋体"/>
        <charset val="0"/>
      </rPr>
      <t>阳新县大王镇财政所</t>
    </r>
    <r>
      <rPr>
        <sz val="10"/>
        <color indexed="8"/>
        <rFont val="Calibri"/>
        <charset val="0"/>
      </rPr>
      <t>_</t>
    </r>
    <r>
      <rPr>
        <sz val="10"/>
        <color indexed="8"/>
        <rFont val="宋体"/>
        <charset val="0"/>
      </rPr>
      <t>住房公积金</t>
    </r>
  </si>
  <si>
    <r>
      <rPr>
        <sz val="10"/>
        <color indexed="8"/>
        <rFont val="宋体"/>
        <charset val="0"/>
      </rPr>
      <t>阳新县大王镇财政所</t>
    </r>
    <r>
      <rPr>
        <sz val="10"/>
        <color indexed="8"/>
        <rFont val="Calibri"/>
        <charset val="0"/>
      </rPr>
      <t>_</t>
    </r>
    <r>
      <rPr>
        <sz val="10"/>
        <color indexed="8"/>
        <rFont val="宋体"/>
        <charset val="0"/>
      </rPr>
      <t>离退休人员公用经费</t>
    </r>
  </si>
  <si>
    <r>
      <rPr>
        <sz val="10"/>
        <color indexed="8"/>
        <rFont val="宋体"/>
        <charset val="0"/>
      </rPr>
      <t>阳新县大王镇财政所</t>
    </r>
    <r>
      <rPr>
        <sz val="10"/>
        <color indexed="8"/>
        <rFont val="Calibri"/>
        <charset val="0"/>
      </rPr>
      <t>_</t>
    </r>
    <r>
      <rPr>
        <sz val="10"/>
        <color indexed="8"/>
        <rFont val="宋体"/>
        <charset val="0"/>
      </rPr>
      <t>其他对个人和家庭的补助</t>
    </r>
  </si>
  <si>
    <r>
      <rPr>
        <sz val="10"/>
        <color indexed="8"/>
        <rFont val="宋体"/>
        <charset val="0"/>
      </rPr>
      <t>阳新县大王镇财政所</t>
    </r>
    <r>
      <rPr>
        <sz val="10"/>
        <color indexed="8"/>
        <rFont val="Calibri"/>
        <charset val="0"/>
      </rPr>
      <t>_</t>
    </r>
    <r>
      <rPr>
        <sz val="10"/>
        <color indexed="8"/>
        <rFont val="宋体"/>
        <charset val="0"/>
      </rPr>
      <t>在职人员公用经费</t>
    </r>
  </si>
  <si>
    <r>
      <rPr>
        <sz val="10"/>
        <color indexed="8"/>
        <rFont val="宋体"/>
        <charset val="0"/>
      </rPr>
      <t>阳新县大王镇财政所</t>
    </r>
    <r>
      <rPr>
        <sz val="10"/>
        <color indexed="8"/>
        <rFont val="Calibri"/>
        <charset val="0"/>
      </rPr>
      <t>_</t>
    </r>
    <r>
      <rPr>
        <sz val="10"/>
        <color indexed="8"/>
        <rFont val="宋体"/>
        <charset val="0"/>
      </rPr>
      <t>工资福利支出</t>
    </r>
  </si>
  <si>
    <r>
      <rPr>
        <sz val="10"/>
        <color indexed="8"/>
        <rFont val="宋体"/>
        <charset val="0"/>
      </rPr>
      <t>阳新县大王镇财政所</t>
    </r>
    <r>
      <rPr>
        <sz val="10"/>
        <color indexed="8"/>
        <rFont val="Calibri"/>
        <charset val="0"/>
      </rPr>
      <t>_</t>
    </r>
    <r>
      <rPr>
        <sz val="10"/>
        <color indexed="8"/>
        <rFont val="宋体"/>
        <charset val="0"/>
      </rPr>
      <t>离退休费</t>
    </r>
  </si>
  <si>
    <r>
      <rPr>
        <sz val="10"/>
        <color indexed="8"/>
        <rFont val="宋体"/>
        <charset val="0"/>
      </rPr>
      <t>阳新县大王镇财政所</t>
    </r>
    <r>
      <rPr>
        <sz val="10"/>
        <color indexed="8"/>
        <rFont val="Calibri"/>
        <charset val="0"/>
      </rPr>
      <t>_</t>
    </r>
    <r>
      <rPr>
        <sz val="10"/>
        <color indexed="8"/>
        <rFont val="宋体"/>
        <charset val="0"/>
      </rPr>
      <t>职工福利费</t>
    </r>
  </si>
  <si>
    <r>
      <rPr>
        <sz val="10"/>
        <color indexed="8"/>
        <rFont val="宋体"/>
        <charset val="0"/>
      </rPr>
      <t>阳新县大王镇财政所</t>
    </r>
    <r>
      <rPr>
        <sz val="10"/>
        <color indexed="8"/>
        <rFont val="Calibri"/>
        <charset val="0"/>
      </rPr>
      <t>_</t>
    </r>
    <r>
      <rPr>
        <sz val="10"/>
        <color indexed="8"/>
        <rFont val="宋体"/>
        <charset val="0"/>
      </rPr>
      <t>社会保障缴费</t>
    </r>
  </si>
  <si>
    <r>
      <rPr>
        <b/>
        <sz val="10"/>
        <color indexed="8"/>
        <rFont val="宋体"/>
        <charset val="0"/>
      </rPr>
      <t>　　</t>
    </r>
    <r>
      <rPr>
        <b/>
        <sz val="10"/>
        <color indexed="8"/>
        <rFont val="Calibri"/>
        <charset val="0"/>
      </rPr>
      <t>605001</t>
    </r>
  </si>
  <si>
    <r>
      <rPr>
        <sz val="10"/>
        <color indexed="8"/>
        <rFont val="宋体"/>
        <charset val="0"/>
      </rPr>
      <t>　　　</t>
    </r>
    <r>
      <rPr>
        <sz val="10"/>
        <color indexed="8"/>
        <rFont val="Calibri"/>
        <charset val="0"/>
      </rPr>
      <t>605001</t>
    </r>
  </si>
  <si>
    <t>　　　黄石经济技术开发区章山街道办事处本级</t>
  </si>
  <si>
    <r>
      <rPr>
        <sz val="10"/>
        <color indexed="8"/>
        <rFont val="宋体"/>
        <charset val="0"/>
      </rPr>
      <t>黄石经济技术开发区章山街道办事处本级</t>
    </r>
    <r>
      <rPr>
        <sz val="10"/>
        <color indexed="8"/>
        <rFont val="Calibri"/>
        <charset val="0"/>
      </rPr>
      <t>_</t>
    </r>
    <r>
      <rPr>
        <sz val="10"/>
        <color indexed="8"/>
        <rFont val="宋体"/>
        <charset val="0"/>
      </rPr>
      <t>在职人员公用经费</t>
    </r>
  </si>
  <si>
    <r>
      <rPr>
        <sz val="10"/>
        <color indexed="8"/>
        <rFont val="宋体"/>
        <charset val="0"/>
      </rPr>
      <t>黄石经济技术开发区章山街道办事处本级</t>
    </r>
    <r>
      <rPr>
        <sz val="10"/>
        <color indexed="8"/>
        <rFont val="Calibri"/>
        <charset val="0"/>
      </rPr>
      <t>_</t>
    </r>
    <r>
      <rPr>
        <sz val="10"/>
        <color indexed="8"/>
        <rFont val="宋体"/>
        <charset val="0"/>
      </rPr>
      <t>住房公积金</t>
    </r>
  </si>
  <si>
    <r>
      <rPr>
        <sz val="10"/>
        <color indexed="8"/>
        <rFont val="宋体"/>
        <charset val="0"/>
      </rPr>
      <t>黄石经济技术开发区章山街道办事处本级</t>
    </r>
    <r>
      <rPr>
        <sz val="10"/>
        <color indexed="8"/>
        <rFont val="Calibri"/>
        <charset val="0"/>
      </rPr>
      <t>_</t>
    </r>
    <r>
      <rPr>
        <sz val="10"/>
        <color indexed="8"/>
        <rFont val="宋体"/>
        <charset val="0"/>
      </rPr>
      <t>社会保障缴费</t>
    </r>
  </si>
  <si>
    <r>
      <rPr>
        <sz val="10"/>
        <color indexed="8"/>
        <rFont val="宋体"/>
        <charset val="0"/>
      </rPr>
      <t>黄石经济技术开发区章山街道办事处本级</t>
    </r>
    <r>
      <rPr>
        <sz val="10"/>
        <color indexed="8"/>
        <rFont val="Calibri"/>
        <charset val="0"/>
      </rPr>
      <t>_</t>
    </r>
    <r>
      <rPr>
        <sz val="10"/>
        <color indexed="8"/>
        <rFont val="宋体"/>
        <charset val="0"/>
      </rPr>
      <t>工资福利支出</t>
    </r>
  </si>
  <si>
    <r>
      <rPr>
        <sz val="10"/>
        <color indexed="8"/>
        <rFont val="宋体"/>
        <charset val="0"/>
      </rPr>
      <t>黄石经济技术开发区章山街道办事处本级</t>
    </r>
    <r>
      <rPr>
        <sz val="10"/>
        <color indexed="8"/>
        <rFont val="Calibri"/>
        <charset val="0"/>
      </rPr>
      <t>_</t>
    </r>
    <r>
      <rPr>
        <sz val="10"/>
        <color indexed="8"/>
        <rFont val="宋体"/>
        <charset val="0"/>
      </rPr>
      <t>交通费</t>
    </r>
  </si>
  <si>
    <r>
      <rPr>
        <sz val="10"/>
        <color indexed="8"/>
        <rFont val="宋体"/>
        <charset val="0"/>
      </rPr>
      <t>黄石经济技术开发区章山街道办事处本级</t>
    </r>
    <r>
      <rPr>
        <sz val="10"/>
        <color indexed="8"/>
        <rFont val="Calibri"/>
        <charset val="0"/>
      </rPr>
      <t>_</t>
    </r>
    <r>
      <rPr>
        <sz val="10"/>
        <color indexed="8"/>
        <rFont val="宋体"/>
        <charset val="0"/>
      </rPr>
      <t>职工福利费</t>
    </r>
  </si>
  <si>
    <t>人员类项目和公用经费预算资金来源表（基本支出）-铁山区</t>
  </si>
  <si>
    <r>
      <rPr>
        <b/>
        <sz val="10"/>
        <color indexed="8"/>
        <rFont val="宋体"/>
        <charset val="0"/>
      </rPr>
      <t>　　</t>
    </r>
    <r>
      <rPr>
        <b/>
        <sz val="10"/>
        <color indexed="8"/>
        <rFont val="Calibri"/>
        <charset val="0"/>
      </rPr>
      <t>901001</t>
    </r>
  </si>
  <si>
    <r>
      <rPr>
        <sz val="10"/>
        <color indexed="8"/>
        <rFont val="宋体"/>
        <charset val="0"/>
      </rPr>
      <t>　　　</t>
    </r>
    <r>
      <rPr>
        <sz val="10"/>
        <color indexed="8"/>
        <rFont val="Calibri"/>
        <charset val="0"/>
      </rPr>
      <t>901001</t>
    </r>
  </si>
  <si>
    <t>　　　黄石市铁山区人民代表大会常务委员会办公室本级</t>
  </si>
  <si>
    <t>2010101</t>
  </si>
  <si>
    <r>
      <rPr>
        <sz val="10"/>
        <color indexed="8"/>
        <rFont val="宋体"/>
        <charset val="0"/>
      </rPr>
      <t>黄石市铁山区人民代表大会常务委员会办公室本级</t>
    </r>
    <r>
      <rPr>
        <sz val="10"/>
        <color indexed="8"/>
        <rFont val="Calibri"/>
        <charset val="0"/>
      </rPr>
      <t>_</t>
    </r>
    <r>
      <rPr>
        <sz val="10"/>
        <color indexed="8"/>
        <rFont val="宋体"/>
        <charset val="0"/>
      </rPr>
      <t>社会保障缴费</t>
    </r>
  </si>
  <si>
    <r>
      <rPr>
        <sz val="10"/>
        <color indexed="8"/>
        <rFont val="宋体"/>
        <charset val="0"/>
      </rPr>
      <t>黄石市铁山区人民代表大会常务委员会办公室本级</t>
    </r>
    <r>
      <rPr>
        <sz val="10"/>
        <color indexed="8"/>
        <rFont val="Calibri"/>
        <charset val="0"/>
      </rPr>
      <t>_</t>
    </r>
    <r>
      <rPr>
        <sz val="10"/>
        <color indexed="8"/>
        <rFont val="宋体"/>
        <charset val="0"/>
      </rPr>
      <t>工资福利支出</t>
    </r>
  </si>
  <si>
    <r>
      <rPr>
        <b/>
        <sz val="9"/>
        <color indexed="8"/>
        <rFont val="宋体"/>
        <charset val="0"/>
      </rPr>
      <t>黄财预发〔</t>
    </r>
    <r>
      <rPr>
        <b/>
        <sz val="9"/>
        <color indexed="8"/>
        <rFont val="Calibri"/>
        <charset val="0"/>
      </rPr>
      <t>2022</t>
    </r>
    <r>
      <rPr>
        <b/>
        <sz val="9"/>
        <color indexed="8"/>
        <rFont val="宋体"/>
        <charset val="0"/>
      </rPr>
      <t>〕</t>
    </r>
    <r>
      <rPr>
        <b/>
        <sz val="9"/>
        <color indexed="8"/>
        <rFont val="Calibri"/>
        <charset val="0"/>
      </rPr>
      <t>275</t>
    </r>
    <r>
      <rPr>
        <b/>
        <sz val="9"/>
        <color indexed="8"/>
        <rFont val="宋体"/>
        <charset val="0"/>
      </rPr>
      <t>号</t>
    </r>
  </si>
  <si>
    <r>
      <rPr>
        <sz val="10"/>
        <color indexed="8"/>
        <rFont val="宋体"/>
        <charset val="0"/>
      </rPr>
      <t>黄石市铁山区人民代表大会常务委员会办公室本级</t>
    </r>
    <r>
      <rPr>
        <sz val="10"/>
        <color indexed="8"/>
        <rFont val="Calibri"/>
        <charset val="0"/>
      </rPr>
      <t>_</t>
    </r>
    <r>
      <rPr>
        <sz val="10"/>
        <color indexed="8"/>
        <rFont val="宋体"/>
        <charset val="0"/>
      </rPr>
      <t>职工福利费</t>
    </r>
  </si>
  <si>
    <r>
      <rPr>
        <sz val="10"/>
        <color indexed="8"/>
        <rFont val="宋体"/>
        <charset val="0"/>
      </rPr>
      <t>黄石市铁山区人民代表大会常务委员会办公室本级</t>
    </r>
    <r>
      <rPr>
        <sz val="10"/>
        <color indexed="8"/>
        <rFont val="Calibri"/>
        <charset val="0"/>
      </rPr>
      <t>_</t>
    </r>
    <r>
      <rPr>
        <sz val="10"/>
        <color indexed="8"/>
        <rFont val="宋体"/>
        <charset val="0"/>
      </rPr>
      <t>其他对个人和家庭的补助</t>
    </r>
  </si>
  <si>
    <r>
      <rPr>
        <sz val="10"/>
        <color indexed="8"/>
        <rFont val="宋体"/>
        <charset val="0"/>
      </rPr>
      <t>黄石市铁山区人民代表大会常务委员会办公室本级</t>
    </r>
    <r>
      <rPr>
        <sz val="10"/>
        <color indexed="8"/>
        <rFont val="Calibri"/>
        <charset val="0"/>
      </rPr>
      <t>_</t>
    </r>
    <r>
      <rPr>
        <sz val="10"/>
        <color indexed="8"/>
        <rFont val="宋体"/>
        <charset val="0"/>
      </rPr>
      <t>住房公积金</t>
    </r>
  </si>
  <si>
    <r>
      <rPr>
        <sz val="10"/>
        <color indexed="8"/>
        <rFont val="宋体"/>
        <charset val="0"/>
      </rPr>
      <t>黄石市铁山区人民代表大会常务委员会办公室本级</t>
    </r>
    <r>
      <rPr>
        <sz val="10"/>
        <color indexed="8"/>
        <rFont val="Calibri"/>
        <charset val="0"/>
      </rPr>
      <t>_</t>
    </r>
    <r>
      <rPr>
        <sz val="10"/>
        <color indexed="8"/>
        <rFont val="宋体"/>
        <charset val="0"/>
      </rPr>
      <t>在职人员公用</t>
    </r>
  </si>
  <si>
    <r>
      <rPr>
        <sz val="10"/>
        <color indexed="8"/>
        <rFont val="宋体"/>
        <charset val="0"/>
      </rPr>
      <t>黄石市铁山区人民代表大会常务委员会办公室本级</t>
    </r>
    <r>
      <rPr>
        <sz val="10"/>
        <color indexed="8"/>
        <rFont val="Calibri"/>
        <charset val="0"/>
      </rPr>
      <t>_</t>
    </r>
    <r>
      <rPr>
        <sz val="10"/>
        <color indexed="8"/>
        <rFont val="宋体"/>
        <charset val="0"/>
      </rPr>
      <t>交通费</t>
    </r>
  </si>
  <si>
    <r>
      <rPr>
        <sz val="10"/>
        <color indexed="8"/>
        <rFont val="宋体"/>
        <charset val="0"/>
      </rPr>
      <t>黄石市铁山区人民代表大会常务委员会办公室本级</t>
    </r>
    <r>
      <rPr>
        <sz val="10"/>
        <color indexed="8"/>
        <rFont val="Calibri"/>
        <charset val="0"/>
      </rPr>
      <t>_</t>
    </r>
    <r>
      <rPr>
        <sz val="10"/>
        <color indexed="8"/>
        <rFont val="宋体"/>
        <charset val="0"/>
      </rPr>
      <t>离退休人员公用</t>
    </r>
  </si>
  <si>
    <r>
      <rPr>
        <sz val="10"/>
        <color indexed="8"/>
        <rFont val="宋体"/>
        <charset val="0"/>
      </rPr>
      <t>黄石市铁山区人民代表大会常务委员会办公室本级</t>
    </r>
    <r>
      <rPr>
        <sz val="10"/>
        <color indexed="8"/>
        <rFont val="Calibri"/>
        <charset val="0"/>
      </rPr>
      <t>_</t>
    </r>
    <r>
      <rPr>
        <sz val="10"/>
        <color indexed="8"/>
        <rFont val="宋体"/>
        <charset val="0"/>
      </rPr>
      <t>离退休费</t>
    </r>
  </si>
  <si>
    <r>
      <rPr>
        <b/>
        <sz val="10"/>
        <color indexed="8"/>
        <rFont val="宋体"/>
        <charset val="0"/>
      </rPr>
      <t>　　</t>
    </r>
    <r>
      <rPr>
        <b/>
        <sz val="10"/>
        <color indexed="8"/>
        <rFont val="Calibri"/>
        <charset val="0"/>
      </rPr>
      <t>902001</t>
    </r>
  </si>
  <si>
    <r>
      <rPr>
        <sz val="10"/>
        <color indexed="8"/>
        <rFont val="宋体"/>
        <charset val="0"/>
      </rPr>
      <t>　　　</t>
    </r>
    <r>
      <rPr>
        <sz val="10"/>
        <color indexed="8"/>
        <rFont val="Calibri"/>
        <charset val="0"/>
      </rPr>
      <t>902001</t>
    </r>
  </si>
  <si>
    <t>　　　中国人民政治协商会议湖北省黄石市铁山区委员会本级</t>
  </si>
  <si>
    <t>2010201</t>
  </si>
  <si>
    <r>
      <rPr>
        <sz val="10"/>
        <color indexed="8"/>
        <rFont val="宋体"/>
        <charset val="0"/>
      </rPr>
      <t>中国人民政治协商会议湖北省黄石市铁山区委员会本级</t>
    </r>
    <r>
      <rPr>
        <sz val="10"/>
        <color indexed="8"/>
        <rFont val="Calibri"/>
        <charset val="0"/>
      </rPr>
      <t>_</t>
    </r>
    <r>
      <rPr>
        <sz val="10"/>
        <color indexed="8"/>
        <rFont val="宋体"/>
        <charset val="0"/>
      </rPr>
      <t>离退休人员公用</t>
    </r>
  </si>
  <si>
    <r>
      <rPr>
        <sz val="10"/>
        <color indexed="8"/>
        <rFont val="宋体"/>
        <charset val="0"/>
      </rPr>
      <t>中国人民政治协商会议湖北省黄石市铁山区委员会本级</t>
    </r>
    <r>
      <rPr>
        <sz val="10"/>
        <color indexed="8"/>
        <rFont val="Calibri"/>
        <charset val="0"/>
      </rPr>
      <t>_</t>
    </r>
    <r>
      <rPr>
        <sz val="10"/>
        <color indexed="8"/>
        <rFont val="宋体"/>
        <charset val="0"/>
      </rPr>
      <t>交通费</t>
    </r>
  </si>
  <si>
    <r>
      <rPr>
        <sz val="10"/>
        <color indexed="8"/>
        <rFont val="宋体"/>
        <charset val="0"/>
      </rPr>
      <t>中国人民政治协商会议湖北省黄石市铁山区委员会本级</t>
    </r>
    <r>
      <rPr>
        <sz val="10"/>
        <color indexed="8"/>
        <rFont val="Calibri"/>
        <charset val="0"/>
      </rPr>
      <t>_</t>
    </r>
    <r>
      <rPr>
        <sz val="10"/>
        <color indexed="8"/>
        <rFont val="宋体"/>
        <charset val="0"/>
      </rPr>
      <t>社会保障缴费</t>
    </r>
  </si>
  <si>
    <r>
      <rPr>
        <sz val="10"/>
        <color indexed="8"/>
        <rFont val="宋体"/>
        <charset val="0"/>
      </rPr>
      <t>中国人民政治协商会议湖北省黄石市铁山区委员会本级</t>
    </r>
    <r>
      <rPr>
        <sz val="10"/>
        <color indexed="8"/>
        <rFont val="Calibri"/>
        <charset val="0"/>
      </rPr>
      <t>_</t>
    </r>
    <r>
      <rPr>
        <sz val="10"/>
        <color indexed="8"/>
        <rFont val="宋体"/>
        <charset val="0"/>
      </rPr>
      <t>住房公积金</t>
    </r>
  </si>
  <si>
    <r>
      <rPr>
        <sz val="10"/>
        <color indexed="8"/>
        <rFont val="宋体"/>
        <charset val="0"/>
      </rPr>
      <t>中国人民政治协商会议湖北省黄石市铁山区委员会本级</t>
    </r>
    <r>
      <rPr>
        <sz val="10"/>
        <color indexed="8"/>
        <rFont val="Calibri"/>
        <charset val="0"/>
      </rPr>
      <t>_</t>
    </r>
    <r>
      <rPr>
        <sz val="10"/>
        <color indexed="8"/>
        <rFont val="宋体"/>
        <charset val="0"/>
      </rPr>
      <t>离退休费</t>
    </r>
  </si>
  <si>
    <r>
      <rPr>
        <sz val="10"/>
        <color indexed="8"/>
        <rFont val="宋体"/>
        <charset val="0"/>
      </rPr>
      <t>中国人民政治协商会议湖北省黄石市铁山区委员会本级</t>
    </r>
    <r>
      <rPr>
        <sz val="10"/>
        <color indexed="8"/>
        <rFont val="Calibri"/>
        <charset val="0"/>
      </rPr>
      <t>_</t>
    </r>
    <r>
      <rPr>
        <sz val="10"/>
        <color indexed="8"/>
        <rFont val="宋体"/>
        <charset val="0"/>
      </rPr>
      <t>工资福利支出</t>
    </r>
  </si>
  <si>
    <r>
      <rPr>
        <sz val="10"/>
        <color indexed="8"/>
        <rFont val="宋体"/>
        <charset val="0"/>
      </rPr>
      <t>中国人民政治协商会议湖北省黄石市铁山区委员会本级</t>
    </r>
    <r>
      <rPr>
        <sz val="10"/>
        <color indexed="8"/>
        <rFont val="Calibri"/>
        <charset val="0"/>
      </rPr>
      <t>_</t>
    </r>
    <r>
      <rPr>
        <sz val="10"/>
        <color indexed="8"/>
        <rFont val="宋体"/>
        <charset val="0"/>
      </rPr>
      <t>职工福利费</t>
    </r>
  </si>
  <si>
    <r>
      <rPr>
        <sz val="10"/>
        <color indexed="8"/>
        <rFont val="宋体"/>
        <charset val="0"/>
      </rPr>
      <t>中国人民政治协商会议湖北省黄石市铁山区委员会本级</t>
    </r>
    <r>
      <rPr>
        <sz val="10"/>
        <color indexed="8"/>
        <rFont val="Calibri"/>
        <charset val="0"/>
      </rPr>
      <t>_</t>
    </r>
    <r>
      <rPr>
        <sz val="10"/>
        <color indexed="8"/>
        <rFont val="宋体"/>
        <charset val="0"/>
      </rPr>
      <t>其他对个人和家庭的补助</t>
    </r>
  </si>
  <si>
    <r>
      <rPr>
        <sz val="10"/>
        <color indexed="8"/>
        <rFont val="宋体"/>
        <charset val="0"/>
      </rPr>
      <t>中国人民政治协商会议湖北省黄石市铁山区委员会本级</t>
    </r>
    <r>
      <rPr>
        <sz val="10"/>
        <color indexed="8"/>
        <rFont val="Calibri"/>
        <charset val="0"/>
      </rPr>
      <t>_</t>
    </r>
    <r>
      <rPr>
        <sz val="10"/>
        <color indexed="8"/>
        <rFont val="宋体"/>
        <charset val="0"/>
      </rPr>
      <t>在职人员公用</t>
    </r>
  </si>
  <si>
    <r>
      <rPr>
        <b/>
        <sz val="10"/>
        <color indexed="8"/>
        <rFont val="宋体"/>
        <charset val="0"/>
      </rPr>
      <t>　　</t>
    </r>
    <r>
      <rPr>
        <b/>
        <sz val="10"/>
        <color indexed="8"/>
        <rFont val="Calibri"/>
        <charset val="0"/>
      </rPr>
      <t>904001</t>
    </r>
  </si>
  <si>
    <r>
      <rPr>
        <sz val="10"/>
        <color indexed="8"/>
        <rFont val="宋体"/>
        <charset val="0"/>
      </rPr>
      <t>　　　</t>
    </r>
    <r>
      <rPr>
        <sz val="10"/>
        <color indexed="8"/>
        <rFont val="Calibri"/>
        <charset val="0"/>
      </rPr>
      <t>904001</t>
    </r>
  </si>
  <si>
    <t>　　　铁山区人民政府铁山街道办事处本级</t>
  </si>
  <si>
    <r>
      <rPr>
        <sz val="10"/>
        <color indexed="8"/>
        <rFont val="宋体"/>
        <charset val="0"/>
      </rPr>
      <t>铁山区人民政府铁山街道办事处本级</t>
    </r>
    <r>
      <rPr>
        <sz val="10"/>
        <color indexed="8"/>
        <rFont val="Calibri"/>
        <charset val="0"/>
      </rPr>
      <t>_</t>
    </r>
    <r>
      <rPr>
        <sz val="10"/>
        <color indexed="8"/>
        <rFont val="宋体"/>
        <charset val="0"/>
      </rPr>
      <t>职工福利费</t>
    </r>
  </si>
  <si>
    <r>
      <rPr>
        <sz val="10"/>
        <color indexed="8"/>
        <rFont val="宋体"/>
        <charset val="0"/>
      </rPr>
      <t>铁山区人民政府铁山街道办事处本级</t>
    </r>
    <r>
      <rPr>
        <sz val="10"/>
        <color indexed="8"/>
        <rFont val="Calibri"/>
        <charset val="0"/>
      </rPr>
      <t>_</t>
    </r>
    <r>
      <rPr>
        <sz val="10"/>
        <color indexed="8"/>
        <rFont val="宋体"/>
        <charset val="0"/>
      </rPr>
      <t>其他对个人和家庭的补助</t>
    </r>
  </si>
  <si>
    <r>
      <rPr>
        <sz val="10"/>
        <color indexed="8"/>
        <rFont val="宋体"/>
        <charset val="0"/>
      </rPr>
      <t>铁山区人民政府铁山街道办事处本级</t>
    </r>
    <r>
      <rPr>
        <sz val="10"/>
        <color indexed="8"/>
        <rFont val="Calibri"/>
        <charset val="0"/>
      </rPr>
      <t>_</t>
    </r>
    <r>
      <rPr>
        <sz val="10"/>
        <color indexed="8"/>
        <rFont val="宋体"/>
        <charset val="0"/>
      </rPr>
      <t>住房公积金</t>
    </r>
  </si>
  <si>
    <r>
      <rPr>
        <sz val="10"/>
        <color indexed="8"/>
        <rFont val="宋体"/>
        <charset val="0"/>
      </rPr>
      <t>铁山区人民政府铁山街道办事处本级</t>
    </r>
    <r>
      <rPr>
        <sz val="10"/>
        <color indexed="8"/>
        <rFont val="Calibri"/>
        <charset val="0"/>
      </rPr>
      <t>_</t>
    </r>
    <r>
      <rPr>
        <sz val="10"/>
        <color indexed="8"/>
        <rFont val="宋体"/>
        <charset val="0"/>
      </rPr>
      <t>交通费</t>
    </r>
  </si>
  <si>
    <r>
      <rPr>
        <sz val="10"/>
        <color indexed="8"/>
        <rFont val="宋体"/>
        <charset val="0"/>
      </rPr>
      <t>铁山区人民政府铁山街道办事处本级</t>
    </r>
    <r>
      <rPr>
        <sz val="10"/>
        <color indexed="8"/>
        <rFont val="Calibri"/>
        <charset val="0"/>
      </rPr>
      <t>_</t>
    </r>
    <r>
      <rPr>
        <sz val="10"/>
        <color indexed="8"/>
        <rFont val="宋体"/>
        <charset val="0"/>
      </rPr>
      <t>离退休费</t>
    </r>
  </si>
  <si>
    <r>
      <rPr>
        <sz val="10"/>
        <color indexed="8"/>
        <rFont val="宋体"/>
        <charset val="0"/>
      </rPr>
      <t>铁山区人民政府铁山街道办事处本级</t>
    </r>
    <r>
      <rPr>
        <sz val="10"/>
        <color indexed="8"/>
        <rFont val="Calibri"/>
        <charset val="0"/>
      </rPr>
      <t>_</t>
    </r>
    <r>
      <rPr>
        <sz val="10"/>
        <color indexed="8"/>
        <rFont val="宋体"/>
        <charset val="0"/>
      </rPr>
      <t>离退休人员公用</t>
    </r>
  </si>
  <si>
    <r>
      <rPr>
        <sz val="10"/>
        <color indexed="8"/>
        <rFont val="宋体"/>
        <charset val="0"/>
      </rPr>
      <t>铁山区人民政府铁山街道办事处本级</t>
    </r>
    <r>
      <rPr>
        <sz val="10"/>
        <color indexed="8"/>
        <rFont val="Calibri"/>
        <charset val="0"/>
      </rPr>
      <t>_</t>
    </r>
    <r>
      <rPr>
        <sz val="10"/>
        <color indexed="8"/>
        <rFont val="宋体"/>
        <charset val="0"/>
      </rPr>
      <t>在职人员公用</t>
    </r>
  </si>
  <si>
    <r>
      <rPr>
        <sz val="10"/>
        <color indexed="8"/>
        <rFont val="宋体"/>
        <charset val="0"/>
      </rPr>
      <t>铁山区人民政府铁山街道办事处本级</t>
    </r>
    <r>
      <rPr>
        <sz val="10"/>
        <color indexed="8"/>
        <rFont val="Calibri"/>
        <charset val="0"/>
      </rPr>
      <t>_</t>
    </r>
    <r>
      <rPr>
        <sz val="10"/>
        <color indexed="8"/>
        <rFont val="宋体"/>
        <charset val="0"/>
      </rPr>
      <t>社会保障缴费</t>
    </r>
  </si>
  <si>
    <r>
      <rPr>
        <sz val="10"/>
        <color indexed="8"/>
        <rFont val="宋体"/>
        <charset val="0"/>
      </rPr>
      <t>铁山区人民政府铁山街道办事处本级</t>
    </r>
    <r>
      <rPr>
        <sz val="10"/>
        <color indexed="8"/>
        <rFont val="Calibri"/>
        <charset val="0"/>
      </rPr>
      <t>_</t>
    </r>
    <r>
      <rPr>
        <sz val="10"/>
        <color indexed="8"/>
        <rFont val="宋体"/>
        <charset val="0"/>
      </rPr>
      <t>工资福利支出</t>
    </r>
  </si>
  <si>
    <r>
      <rPr>
        <b/>
        <sz val="10"/>
        <color indexed="8"/>
        <rFont val="宋体"/>
        <charset val="0"/>
      </rPr>
      <t>　　</t>
    </r>
    <r>
      <rPr>
        <b/>
        <sz val="10"/>
        <color indexed="8"/>
        <rFont val="Calibri"/>
        <charset val="0"/>
      </rPr>
      <t>904002</t>
    </r>
  </si>
  <si>
    <r>
      <rPr>
        <b/>
        <sz val="10"/>
        <color indexed="8"/>
        <rFont val="宋体"/>
        <charset val="0"/>
      </rPr>
      <t>　　黄石经济技术开发区</t>
    </r>
    <r>
      <rPr>
        <b/>
        <sz val="10"/>
        <color indexed="8"/>
        <rFont val="Calibri"/>
        <charset val="0"/>
      </rPr>
      <t>·</t>
    </r>
    <r>
      <rPr>
        <b/>
        <sz val="10"/>
        <color indexed="8"/>
        <rFont val="宋体"/>
        <charset val="0"/>
      </rPr>
      <t>铁山区城市管理执法局铁山街道中队本级</t>
    </r>
  </si>
  <si>
    <r>
      <rPr>
        <sz val="10"/>
        <color indexed="8"/>
        <rFont val="宋体"/>
        <charset val="0"/>
      </rPr>
      <t>　　　</t>
    </r>
    <r>
      <rPr>
        <sz val="10"/>
        <color indexed="8"/>
        <rFont val="Calibri"/>
        <charset val="0"/>
      </rPr>
      <t>904002</t>
    </r>
  </si>
  <si>
    <r>
      <rPr>
        <sz val="10"/>
        <color indexed="8"/>
        <rFont val="宋体"/>
        <charset val="0"/>
      </rPr>
      <t>　　　黄石经济技术开发区</t>
    </r>
    <r>
      <rPr>
        <sz val="10"/>
        <color indexed="8"/>
        <rFont val="Calibri"/>
        <charset val="0"/>
      </rPr>
      <t>·</t>
    </r>
    <r>
      <rPr>
        <sz val="10"/>
        <color indexed="8"/>
        <rFont val="宋体"/>
        <charset val="0"/>
      </rPr>
      <t>铁山区城市管理执法局铁山街道中队本级</t>
    </r>
  </si>
  <si>
    <t>在职人员公用</t>
  </si>
  <si>
    <r>
      <rPr>
        <b/>
        <sz val="10"/>
        <color indexed="8"/>
        <rFont val="宋体"/>
        <charset val="0"/>
      </rPr>
      <t>　　</t>
    </r>
    <r>
      <rPr>
        <b/>
        <sz val="10"/>
        <color indexed="8"/>
        <rFont val="Calibri"/>
        <charset val="0"/>
      </rPr>
      <t>904003</t>
    </r>
  </si>
  <si>
    <r>
      <rPr>
        <sz val="10"/>
        <color indexed="8"/>
        <rFont val="宋体"/>
        <charset val="0"/>
      </rPr>
      <t>　　　</t>
    </r>
    <r>
      <rPr>
        <sz val="10"/>
        <color indexed="8"/>
        <rFont val="Calibri"/>
        <charset val="0"/>
      </rPr>
      <t>904003</t>
    </r>
  </si>
  <si>
    <t>　　　湖北黄石工矿地综合开发试验区铁山园区建设管理办公室本级</t>
  </si>
  <si>
    <t>2150101</t>
  </si>
  <si>
    <r>
      <rPr>
        <b/>
        <sz val="10"/>
        <color indexed="8"/>
        <rFont val="宋体"/>
        <charset val="0"/>
      </rPr>
      <t>　　</t>
    </r>
    <r>
      <rPr>
        <b/>
        <sz val="10"/>
        <color indexed="8"/>
        <rFont val="Calibri"/>
        <charset val="0"/>
      </rPr>
      <t>905002</t>
    </r>
  </si>
  <si>
    <r>
      <rPr>
        <sz val="10"/>
        <color indexed="8"/>
        <rFont val="宋体"/>
        <charset val="0"/>
      </rPr>
      <t>　　　</t>
    </r>
    <r>
      <rPr>
        <sz val="10"/>
        <color indexed="8"/>
        <rFont val="Calibri"/>
        <charset val="0"/>
      </rPr>
      <t>905002</t>
    </r>
  </si>
  <si>
    <t>　　　铁山区鹿獐山社区卫生服务中心</t>
  </si>
  <si>
    <t>2100301</t>
  </si>
  <si>
    <t>城市社区卫生机构</t>
  </si>
  <si>
    <r>
      <rPr>
        <sz val="10"/>
        <color indexed="8"/>
        <rFont val="宋体"/>
        <charset val="0"/>
      </rPr>
      <t>铁山区鹿獐山社区卫生服务中心</t>
    </r>
    <r>
      <rPr>
        <sz val="10"/>
        <color indexed="8"/>
        <rFont val="Calibri"/>
        <charset val="0"/>
      </rPr>
      <t>_</t>
    </r>
    <r>
      <rPr>
        <sz val="10"/>
        <color indexed="8"/>
        <rFont val="宋体"/>
        <charset val="0"/>
      </rPr>
      <t>社会保障缴费</t>
    </r>
  </si>
  <si>
    <r>
      <rPr>
        <sz val="10"/>
        <color indexed="8"/>
        <rFont val="宋体"/>
        <charset val="0"/>
      </rPr>
      <t>铁山区鹿獐山社区卫生服务中心</t>
    </r>
    <r>
      <rPr>
        <sz val="10"/>
        <color indexed="8"/>
        <rFont val="Calibri"/>
        <charset val="0"/>
      </rPr>
      <t>_</t>
    </r>
    <r>
      <rPr>
        <sz val="10"/>
        <color indexed="8"/>
        <rFont val="宋体"/>
        <charset val="0"/>
      </rPr>
      <t>住房公积金</t>
    </r>
  </si>
  <si>
    <r>
      <rPr>
        <sz val="10"/>
        <color indexed="8"/>
        <rFont val="宋体"/>
        <charset val="0"/>
      </rPr>
      <t>铁山区鹿獐山社区卫生服务中心</t>
    </r>
    <r>
      <rPr>
        <sz val="10"/>
        <color indexed="8"/>
        <rFont val="Calibri"/>
        <charset val="0"/>
      </rPr>
      <t>_</t>
    </r>
    <r>
      <rPr>
        <sz val="10"/>
        <color indexed="8"/>
        <rFont val="宋体"/>
        <charset val="0"/>
      </rPr>
      <t>在职人员公用</t>
    </r>
  </si>
  <si>
    <r>
      <rPr>
        <sz val="10"/>
        <color indexed="8"/>
        <rFont val="宋体"/>
        <charset val="0"/>
      </rPr>
      <t>铁山区鹿獐山社区卫生服务中心</t>
    </r>
    <r>
      <rPr>
        <sz val="10"/>
        <color indexed="8"/>
        <rFont val="Calibri"/>
        <charset val="0"/>
      </rPr>
      <t>_</t>
    </r>
    <r>
      <rPr>
        <sz val="10"/>
        <color indexed="8"/>
        <rFont val="宋体"/>
        <charset val="0"/>
      </rPr>
      <t>其他对个人和家庭的补助</t>
    </r>
  </si>
  <si>
    <r>
      <rPr>
        <sz val="10"/>
        <color indexed="8"/>
        <rFont val="宋体"/>
        <charset val="0"/>
      </rPr>
      <t>铁山区鹿獐山社区卫生服务中心</t>
    </r>
    <r>
      <rPr>
        <sz val="10"/>
        <color indexed="8"/>
        <rFont val="Calibri"/>
        <charset val="0"/>
      </rPr>
      <t>_</t>
    </r>
    <r>
      <rPr>
        <sz val="10"/>
        <color indexed="8"/>
        <rFont val="宋体"/>
        <charset val="0"/>
      </rPr>
      <t>职工福利费</t>
    </r>
  </si>
  <si>
    <r>
      <rPr>
        <sz val="10"/>
        <color indexed="8"/>
        <rFont val="宋体"/>
        <charset val="0"/>
      </rPr>
      <t>铁山区鹿獐山社区卫生服务中心</t>
    </r>
    <r>
      <rPr>
        <sz val="10"/>
        <color indexed="8"/>
        <rFont val="Calibri"/>
        <charset val="0"/>
      </rPr>
      <t>_</t>
    </r>
    <r>
      <rPr>
        <sz val="10"/>
        <color indexed="8"/>
        <rFont val="宋体"/>
        <charset val="0"/>
      </rPr>
      <t>工资福利支出</t>
    </r>
  </si>
  <si>
    <t>其他卫生健康支出</t>
  </si>
  <si>
    <t>基药补助（公用经费）</t>
  </si>
  <si>
    <t>2109999</t>
  </si>
  <si>
    <r>
      <rPr>
        <b/>
        <sz val="10"/>
        <color indexed="8"/>
        <rFont val="宋体"/>
        <charset val="0"/>
      </rPr>
      <t>　　</t>
    </r>
    <r>
      <rPr>
        <b/>
        <sz val="10"/>
        <color indexed="8"/>
        <rFont val="Calibri"/>
        <charset val="0"/>
      </rPr>
      <t>906002</t>
    </r>
  </si>
  <si>
    <r>
      <rPr>
        <sz val="10"/>
        <color indexed="8"/>
        <rFont val="宋体"/>
        <charset val="0"/>
      </rPr>
      <t>　　　</t>
    </r>
    <r>
      <rPr>
        <sz val="10"/>
        <color indexed="8"/>
        <rFont val="Calibri"/>
        <charset val="0"/>
      </rPr>
      <t>906002</t>
    </r>
  </si>
  <si>
    <t>　　　黄石市铁山区第一中学</t>
  </si>
  <si>
    <r>
      <rPr>
        <sz val="10"/>
        <color indexed="8"/>
        <rFont val="宋体"/>
        <charset val="0"/>
      </rPr>
      <t>黄石市铁山区第一中学</t>
    </r>
    <r>
      <rPr>
        <sz val="10"/>
        <color indexed="8"/>
        <rFont val="Calibri"/>
        <charset val="0"/>
      </rPr>
      <t>_</t>
    </r>
    <r>
      <rPr>
        <sz val="10"/>
        <color indexed="8"/>
        <rFont val="宋体"/>
        <charset val="0"/>
      </rPr>
      <t>离退休费</t>
    </r>
  </si>
  <si>
    <r>
      <rPr>
        <sz val="10"/>
        <color indexed="8"/>
        <rFont val="宋体"/>
        <charset val="0"/>
      </rPr>
      <t>黄石市铁山区第一中学</t>
    </r>
    <r>
      <rPr>
        <sz val="10"/>
        <color indexed="8"/>
        <rFont val="Calibri"/>
        <charset val="0"/>
      </rPr>
      <t>_</t>
    </r>
    <r>
      <rPr>
        <sz val="10"/>
        <color indexed="8"/>
        <rFont val="宋体"/>
        <charset val="0"/>
      </rPr>
      <t>社会保障缴费</t>
    </r>
  </si>
  <si>
    <r>
      <rPr>
        <sz val="10"/>
        <color indexed="8"/>
        <rFont val="宋体"/>
        <charset val="0"/>
      </rPr>
      <t>黄石市铁山区第一中学</t>
    </r>
    <r>
      <rPr>
        <sz val="10"/>
        <color indexed="8"/>
        <rFont val="Calibri"/>
        <charset val="0"/>
      </rPr>
      <t>_</t>
    </r>
    <r>
      <rPr>
        <sz val="10"/>
        <color indexed="8"/>
        <rFont val="宋体"/>
        <charset val="0"/>
      </rPr>
      <t>其他对个人和家庭的补助</t>
    </r>
  </si>
  <si>
    <r>
      <rPr>
        <sz val="10"/>
        <color indexed="8"/>
        <rFont val="宋体"/>
        <charset val="0"/>
      </rPr>
      <t>黄石市铁山区第一中学</t>
    </r>
    <r>
      <rPr>
        <sz val="10"/>
        <color indexed="8"/>
        <rFont val="Calibri"/>
        <charset val="0"/>
      </rPr>
      <t>_</t>
    </r>
    <r>
      <rPr>
        <sz val="10"/>
        <color indexed="8"/>
        <rFont val="宋体"/>
        <charset val="0"/>
      </rPr>
      <t>职工福利费</t>
    </r>
  </si>
  <si>
    <r>
      <rPr>
        <sz val="10"/>
        <color indexed="8"/>
        <rFont val="宋体"/>
        <charset val="0"/>
      </rPr>
      <t>黄石市铁山区第一中学</t>
    </r>
    <r>
      <rPr>
        <sz val="10"/>
        <color indexed="8"/>
        <rFont val="Calibri"/>
        <charset val="0"/>
      </rPr>
      <t>_</t>
    </r>
    <r>
      <rPr>
        <sz val="10"/>
        <color indexed="8"/>
        <rFont val="宋体"/>
        <charset val="0"/>
      </rPr>
      <t>工资福利支出</t>
    </r>
  </si>
  <si>
    <r>
      <rPr>
        <sz val="10"/>
        <color indexed="8"/>
        <rFont val="宋体"/>
        <charset val="0"/>
      </rPr>
      <t>黄石市铁山区第一中学</t>
    </r>
    <r>
      <rPr>
        <sz val="10"/>
        <color indexed="8"/>
        <rFont val="Calibri"/>
        <charset val="0"/>
      </rPr>
      <t>_</t>
    </r>
    <r>
      <rPr>
        <sz val="10"/>
        <color indexed="8"/>
        <rFont val="宋体"/>
        <charset val="0"/>
      </rPr>
      <t>住房公积金</t>
    </r>
  </si>
  <si>
    <r>
      <rPr>
        <sz val="10"/>
        <color indexed="8"/>
        <rFont val="宋体"/>
        <charset val="0"/>
      </rPr>
      <t>黄石市铁山区第一中学</t>
    </r>
    <r>
      <rPr>
        <sz val="10"/>
        <color indexed="8"/>
        <rFont val="Calibri"/>
        <charset val="0"/>
      </rPr>
      <t>_</t>
    </r>
    <r>
      <rPr>
        <sz val="10"/>
        <color indexed="8"/>
        <rFont val="宋体"/>
        <charset val="0"/>
      </rPr>
      <t>离退休人员公用</t>
    </r>
  </si>
  <si>
    <r>
      <rPr>
        <b/>
        <sz val="10"/>
        <color indexed="8"/>
        <rFont val="宋体"/>
        <charset val="0"/>
      </rPr>
      <t>　　</t>
    </r>
    <r>
      <rPr>
        <b/>
        <sz val="10"/>
        <color indexed="8"/>
        <rFont val="Calibri"/>
        <charset val="0"/>
      </rPr>
      <t>906003</t>
    </r>
  </si>
  <si>
    <r>
      <rPr>
        <sz val="10"/>
        <color indexed="8"/>
        <rFont val="宋体"/>
        <charset val="0"/>
      </rPr>
      <t>　　　</t>
    </r>
    <r>
      <rPr>
        <sz val="10"/>
        <color indexed="8"/>
        <rFont val="Calibri"/>
        <charset val="0"/>
      </rPr>
      <t>906003</t>
    </r>
  </si>
  <si>
    <t>　　　黄石市钢山学校</t>
  </si>
  <si>
    <r>
      <rPr>
        <sz val="10"/>
        <color indexed="8"/>
        <rFont val="宋体"/>
        <charset val="0"/>
      </rPr>
      <t>黄石市钢山学校</t>
    </r>
    <r>
      <rPr>
        <sz val="10"/>
        <color indexed="8"/>
        <rFont val="Calibri"/>
        <charset val="0"/>
      </rPr>
      <t>_</t>
    </r>
    <r>
      <rPr>
        <sz val="10"/>
        <color indexed="8"/>
        <rFont val="宋体"/>
        <charset val="0"/>
      </rPr>
      <t>其他对个人和家庭的补助</t>
    </r>
  </si>
  <si>
    <r>
      <rPr>
        <sz val="10"/>
        <color indexed="8"/>
        <rFont val="宋体"/>
        <charset val="0"/>
      </rPr>
      <t>黄石市钢山学校</t>
    </r>
    <r>
      <rPr>
        <sz val="10"/>
        <color indexed="8"/>
        <rFont val="Calibri"/>
        <charset val="0"/>
      </rPr>
      <t>_</t>
    </r>
    <r>
      <rPr>
        <sz val="10"/>
        <color indexed="8"/>
        <rFont val="宋体"/>
        <charset val="0"/>
      </rPr>
      <t>工资福利支出</t>
    </r>
  </si>
  <si>
    <r>
      <rPr>
        <sz val="10"/>
        <color indexed="8"/>
        <rFont val="宋体"/>
        <charset val="0"/>
      </rPr>
      <t>黄石市钢山学校</t>
    </r>
    <r>
      <rPr>
        <sz val="10"/>
        <color indexed="8"/>
        <rFont val="Calibri"/>
        <charset val="0"/>
      </rPr>
      <t>_</t>
    </r>
    <r>
      <rPr>
        <sz val="10"/>
        <color indexed="8"/>
        <rFont val="宋体"/>
        <charset val="0"/>
      </rPr>
      <t>离退休费</t>
    </r>
  </si>
  <si>
    <r>
      <rPr>
        <sz val="10"/>
        <color indexed="8"/>
        <rFont val="宋体"/>
        <charset val="0"/>
      </rPr>
      <t>黄石市钢山学校</t>
    </r>
    <r>
      <rPr>
        <sz val="10"/>
        <color indexed="8"/>
        <rFont val="Calibri"/>
        <charset val="0"/>
      </rPr>
      <t>_</t>
    </r>
    <r>
      <rPr>
        <sz val="10"/>
        <color indexed="8"/>
        <rFont val="宋体"/>
        <charset val="0"/>
      </rPr>
      <t>离退休人员公用</t>
    </r>
  </si>
  <si>
    <r>
      <rPr>
        <sz val="10"/>
        <color indexed="8"/>
        <rFont val="宋体"/>
        <charset val="0"/>
      </rPr>
      <t>黄石市钢山学校</t>
    </r>
    <r>
      <rPr>
        <sz val="10"/>
        <color indexed="8"/>
        <rFont val="Calibri"/>
        <charset val="0"/>
      </rPr>
      <t>_</t>
    </r>
    <r>
      <rPr>
        <sz val="10"/>
        <color indexed="8"/>
        <rFont val="宋体"/>
        <charset val="0"/>
      </rPr>
      <t>住房公积金</t>
    </r>
  </si>
  <si>
    <r>
      <rPr>
        <sz val="10"/>
        <color indexed="8"/>
        <rFont val="宋体"/>
        <charset val="0"/>
      </rPr>
      <t>黄石市钢山学校</t>
    </r>
    <r>
      <rPr>
        <sz val="10"/>
        <color indexed="8"/>
        <rFont val="Calibri"/>
        <charset val="0"/>
      </rPr>
      <t>_</t>
    </r>
    <r>
      <rPr>
        <sz val="10"/>
        <color indexed="8"/>
        <rFont val="宋体"/>
        <charset val="0"/>
      </rPr>
      <t>职工福利费</t>
    </r>
  </si>
  <si>
    <r>
      <rPr>
        <sz val="10"/>
        <color indexed="8"/>
        <rFont val="宋体"/>
        <charset val="0"/>
      </rPr>
      <t>黄石市钢山学校</t>
    </r>
    <r>
      <rPr>
        <sz val="10"/>
        <color indexed="8"/>
        <rFont val="Calibri"/>
        <charset val="0"/>
      </rPr>
      <t>_</t>
    </r>
    <r>
      <rPr>
        <sz val="10"/>
        <color indexed="8"/>
        <rFont val="宋体"/>
        <charset val="0"/>
      </rPr>
      <t>社会保障缴费</t>
    </r>
  </si>
  <si>
    <r>
      <rPr>
        <b/>
        <sz val="10"/>
        <color indexed="8"/>
        <rFont val="宋体"/>
        <charset val="0"/>
      </rPr>
      <t>　　</t>
    </r>
    <r>
      <rPr>
        <b/>
        <sz val="10"/>
        <color indexed="8"/>
        <rFont val="Calibri"/>
        <charset val="0"/>
      </rPr>
      <t>906004</t>
    </r>
  </si>
  <si>
    <r>
      <rPr>
        <sz val="10"/>
        <color indexed="8"/>
        <rFont val="宋体"/>
        <charset val="0"/>
      </rPr>
      <t>　　　</t>
    </r>
    <r>
      <rPr>
        <sz val="10"/>
        <color indexed="8"/>
        <rFont val="Calibri"/>
        <charset val="0"/>
      </rPr>
      <t>906004</t>
    </r>
  </si>
  <si>
    <t>　　　黄石市铁山小学</t>
  </si>
  <si>
    <r>
      <rPr>
        <sz val="10"/>
        <color indexed="8"/>
        <rFont val="宋体"/>
        <charset val="0"/>
      </rPr>
      <t>黄石市铁山小学</t>
    </r>
    <r>
      <rPr>
        <sz val="10"/>
        <color indexed="8"/>
        <rFont val="Calibri"/>
        <charset val="0"/>
      </rPr>
      <t>_</t>
    </r>
    <r>
      <rPr>
        <sz val="10"/>
        <color indexed="8"/>
        <rFont val="宋体"/>
        <charset val="0"/>
      </rPr>
      <t>离退休费</t>
    </r>
  </si>
  <si>
    <r>
      <rPr>
        <sz val="10"/>
        <color indexed="8"/>
        <rFont val="宋体"/>
        <charset val="0"/>
      </rPr>
      <t>黄石市铁山小学</t>
    </r>
    <r>
      <rPr>
        <sz val="10"/>
        <color indexed="8"/>
        <rFont val="Calibri"/>
        <charset val="0"/>
      </rPr>
      <t>_</t>
    </r>
    <r>
      <rPr>
        <sz val="10"/>
        <color indexed="8"/>
        <rFont val="宋体"/>
        <charset val="0"/>
      </rPr>
      <t>离退休人员公用</t>
    </r>
  </si>
  <si>
    <r>
      <rPr>
        <sz val="10"/>
        <color indexed="8"/>
        <rFont val="宋体"/>
        <charset val="0"/>
      </rPr>
      <t>黄石市铁山小学</t>
    </r>
    <r>
      <rPr>
        <sz val="10"/>
        <color indexed="8"/>
        <rFont val="Calibri"/>
        <charset val="0"/>
      </rPr>
      <t>_</t>
    </r>
    <r>
      <rPr>
        <sz val="10"/>
        <color indexed="8"/>
        <rFont val="宋体"/>
        <charset val="0"/>
      </rPr>
      <t>住房公积金</t>
    </r>
  </si>
  <si>
    <r>
      <rPr>
        <sz val="10"/>
        <color indexed="8"/>
        <rFont val="宋体"/>
        <charset val="0"/>
      </rPr>
      <t>黄石市铁山小学</t>
    </r>
    <r>
      <rPr>
        <sz val="10"/>
        <color indexed="8"/>
        <rFont val="Calibri"/>
        <charset val="0"/>
      </rPr>
      <t>_</t>
    </r>
    <r>
      <rPr>
        <sz val="10"/>
        <color indexed="8"/>
        <rFont val="宋体"/>
        <charset val="0"/>
      </rPr>
      <t>工资福利支出</t>
    </r>
  </si>
  <si>
    <r>
      <rPr>
        <sz val="10"/>
        <color indexed="8"/>
        <rFont val="宋体"/>
        <charset val="0"/>
      </rPr>
      <t>黄石市铁山小学</t>
    </r>
    <r>
      <rPr>
        <sz val="10"/>
        <color indexed="8"/>
        <rFont val="Calibri"/>
        <charset val="0"/>
      </rPr>
      <t>_</t>
    </r>
    <r>
      <rPr>
        <sz val="10"/>
        <color indexed="8"/>
        <rFont val="宋体"/>
        <charset val="0"/>
      </rPr>
      <t>其他对个人和家庭的补助</t>
    </r>
  </si>
  <si>
    <r>
      <rPr>
        <sz val="10"/>
        <color indexed="8"/>
        <rFont val="宋体"/>
        <charset val="0"/>
      </rPr>
      <t>黄石市铁山小学</t>
    </r>
    <r>
      <rPr>
        <sz val="10"/>
        <color indexed="8"/>
        <rFont val="Calibri"/>
        <charset val="0"/>
      </rPr>
      <t>_</t>
    </r>
    <r>
      <rPr>
        <sz val="10"/>
        <color indexed="8"/>
        <rFont val="宋体"/>
        <charset val="0"/>
      </rPr>
      <t>职工福利费</t>
    </r>
  </si>
  <si>
    <r>
      <rPr>
        <sz val="10"/>
        <color indexed="8"/>
        <rFont val="宋体"/>
        <charset val="0"/>
      </rPr>
      <t>黄石市铁山小学</t>
    </r>
    <r>
      <rPr>
        <sz val="10"/>
        <color indexed="8"/>
        <rFont val="Calibri"/>
        <charset val="0"/>
      </rPr>
      <t>_</t>
    </r>
    <r>
      <rPr>
        <sz val="10"/>
        <color indexed="8"/>
        <rFont val="宋体"/>
        <charset val="0"/>
      </rPr>
      <t>社会保障缴费</t>
    </r>
  </si>
  <si>
    <r>
      <rPr>
        <b/>
        <sz val="10"/>
        <color indexed="8"/>
        <rFont val="宋体"/>
        <charset val="0"/>
      </rPr>
      <t>　　</t>
    </r>
    <r>
      <rPr>
        <b/>
        <sz val="10"/>
        <color indexed="8"/>
        <rFont val="Calibri"/>
        <charset val="0"/>
      </rPr>
      <t>906007</t>
    </r>
  </si>
  <si>
    <r>
      <rPr>
        <sz val="10"/>
        <color indexed="8"/>
        <rFont val="宋体"/>
        <charset val="0"/>
      </rPr>
      <t>　　　</t>
    </r>
    <r>
      <rPr>
        <sz val="10"/>
        <color indexed="8"/>
        <rFont val="Calibri"/>
        <charset val="0"/>
      </rPr>
      <t>906007</t>
    </r>
  </si>
  <si>
    <t>　　　黄石市铁山区第三小学</t>
  </si>
  <si>
    <r>
      <rPr>
        <sz val="10"/>
        <color indexed="8"/>
        <rFont val="宋体"/>
        <charset val="0"/>
      </rPr>
      <t>黄石市铁山区第三小学</t>
    </r>
    <r>
      <rPr>
        <sz val="10"/>
        <color indexed="8"/>
        <rFont val="Calibri"/>
        <charset val="0"/>
      </rPr>
      <t>_</t>
    </r>
    <r>
      <rPr>
        <sz val="10"/>
        <color indexed="8"/>
        <rFont val="宋体"/>
        <charset val="0"/>
      </rPr>
      <t>离退休费</t>
    </r>
  </si>
  <si>
    <r>
      <rPr>
        <sz val="10"/>
        <color indexed="8"/>
        <rFont val="宋体"/>
        <charset val="0"/>
      </rPr>
      <t>黄石市铁山区第三小学</t>
    </r>
    <r>
      <rPr>
        <sz val="10"/>
        <color indexed="8"/>
        <rFont val="Calibri"/>
        <charset val="0"/>
      </rPr>
      <t>_</t>
    </r>
    <r>
      <rPr>
        <sz val="10"/>
        <color indexed="8"/>
        <rFont val="宋体"/>
        <charset val="0"/>
      </rPr>
      <t>住房公积金</t>
    </r>
  </si>
  <si>
    <r>
      <rPr>
        <sz val="10"/>
        <color indexed="8"/>
        <rFont val="宋体"/>
        <charset val="0"/>
      </rPr>
      <t>黄石市铁山区第三小学</t>
    </r>
    <r>
      <rPr>
        <sz val="10"/>
        <color indexed="8"/>
        <rFont val="Calibri"/>
        <charset val="0"/>
      </rPr>
      <t>_</t>
    </r>
    <r>
      <rPr>
        <sz val="10"/>
        <color indexed="8"/>
        <rFont val="宋体"/>
        <charset val="0"/>
      </rPr>
      <t>社会保障缴费</t>
    </r>
  </si>
  <si>
    <r>
      <rPr>
        <sz val="10"/>
        <color indexed="8"/>
        <rFont val="宋体"/>
        <charset val="0"/>
      </rPr>
      <t>黄石市铁山区第三小学</t>
    </r>
    <r>
      <rPr>
        <sz val="10"/>
        <color indexed="8"/>
        <rFont val="Calibri"/>
        <charset val="0"/>
      </rPr>
      <t>_</t>
    </r>
    <r>
      <rPr>
        <sz val="10"/>
        <color indexed="8"/>
        <rFont val="宋体"/>
        <charset val="0"/>
      </rPr>
      <t>职工福利费</t>
    </r>
  </si>
  <si>
    <r>
      <rPr>
        <sz val="10"/>
        <color indexed="8"/>
        <rFont val="宋体"/>
        <charset val="0"/>
      </rPr>
      <t>黄石市铁山区第三小学</t>
    </r>
    <r>
      <rPr>
        <sz val="10"/>
        <color indexed="8"/>
        <rFont val="Calibri"/>
        <charset val="0"/>
      </rPr>
      <t>_</t>
    </r>
    <r>
      <rPr>
        <sz val="10"/>
        <color indexed="8"/>
        <rFont val="宋体"/>
        <charset val="0"/>
      </rPr>
      <t>工资福利支出</t>
    </r>
  </si>
  <si>
    <r>
      <rPr>
        <sz val="10"/>
        <color indexed="8"/>
        <rFont val="宋体"/>
        <charset val="0"/>
      </rPr>
      <t>黄石市铁山区第三小学</t>
    </r>
    <r>
      <rPr>
        <sz val="10"/>
        <color indexed="8"/>
        <rFont val="Calibri"/>
        <charset val="0"/>
      </rPr>
      <t>_</t>
    </r>
    <r>
      <rPr>
        <sz val="10"/>
        <color indexed="8"/>
        <rFont val="宋体"/>
        <charset val="0"/>
      </rPr>
      <t>其他对个人和家庭的补助</t>
    </r>
  </si>
  <si>
    <r>
      <rPr>
        <sz val="10"/>
        <color indexed="8"/>
        <rFont val="宋体"/>
        <charset val="0"/>
      </rPr>
      <t>黄石市铁山区第三小学</t>
    </r>
    <r>
      <rPr>
        <sz val="10"/>
        <color indexed="8"/>
        <rFont val="Calibri"/>
        <charset val="0"/>
      </rPr>
      <t>_</t>
    </r>
    <r>
      <rPr>
        <sz val="10"/>
        <color indexed="8"/>
        <rFont val="宋体"/>
        <charset val="0"/>
      </rPr>
      <t>离退休人员公用</t>
    </r>
  </si>
  <si>
    <t>其他运转类和特定目标类项目支出预算资金来源表（项目支出）-开发区
0</t>
  </si>
  <si>
    <r>
      <rPr>
        <b/>
        <sz val="10"/>
        <color indexed="8"/>
        <rFont val="宋体"/>
        <charset val="134"/>
      </rPr>
      <t>二级项目编码</t>
    </r>
  </si>
  <si>
    <t>二级项目名称</t>
  </si>
  <si>
    <t>财政拨款
(补助)</t>
  </si>
  <si>
    <t>年初预估</t>
  </si>
  <si>
    <t>实际下达
安排</t>
  </si>
  <si>
    <t>结转下年
或统筹</t>
  </si>
  <si>
    <t>001001</t>
  </si>
  <si>
    <r>
      <rPr>
        <b/>
        <sz val="9"/>
        <color indexed="8"/>
        <rFont val="宋体"/>
        <charset val="134"/>
      </rPr>
      <t>　　黄石经济技术开发区</t>
    </r>
    <r>
      <rPr>
        <b/>
        <sz val="9"/>
        <color indexed="8"/>
        <rFont val="Calibri"/>
        <charset val="134"/>
      </rPr>
      <t>·</t>
    </r>
    <r>
      <rPr>
        <b/>
        <sz val="9"/>
        <color indexed="8"/>
        <rFont val="宋体"/>
        <charset val="134"/>
      </rPr>
      <t>铁山区党政办公室本级</t>
    </r>
  </si>
  <si>
    <r>
      <rPr>
        <sz val="9"/>
        <color indexed="8"/>
        <rFont val="宋体"/>
        <charset val="134"/>
      </rPr>
      <t>　　　黄石经济技术开发区</t>
    </r>
    <r>
      <rPr>
        <sz val="9"/>
        <color indexed="8"/>
        <rFont val="Calibri"/>
        <charset val="134"/>
      </rPr>
      <t>·</t>
    </r>
    <r>
      <rPr>
        <sz val="9"/>
        <color indexed="8"/>
        <rFont val="宋体"/>
        <charset val="134"/>
      </rPr>
      <t>铁山区党政办公室本级</t>
    </r>
  </si>
  <si>
    <t>2010302</t>
  </si>
  <si>
    <t>42020622001T000000102</t>
  </si>
  <si>
    <t>班车租赁</t>
  </si>
  <si>
    <t>开财2023</t>
  </si>
  <si>
    <t>42020622001T000000105</t>
  </si>
  <si>
    <t>办公楼租金</t>
  </si>
  <si>
    <t>42020622001T000000106</t>
  </si>
  <si>
    <t>42020622001T000000108</t>
  </si>
  <si>
    <t>会议费</t>
  </si>
  <si>
    <t>42020622001T000000109</t>
  </si>
  <si>
    <t>42020622001T000000110</t>
  </si>
  <si>
    <t>食堂运行费</t>
  </si>
  <si>
    <t>42020622001T000000112</t>
  </si>
  <si>
    <t>网站维护及信息专项</t>
  </si>
  <si>
    <t>42020622001T000000113</t>
  </si>
  <si>
    <t>物业管理费</t>
  </si>
  <si>
    <t>42020622001T000000114</t>
  </si>
  <si>
    <t>应急中心专项经费</t>
  </si>
  <si>
    <t>42020622001T000000115</t>
  </si>
  <si>
    <t>42020622001T000000116</t>
  </si>
  <si>
    <t>重点工作经费</t>
  </si>
  <si>
    <t>42020622001T000000118</t>
  </si>
  <si>
    <t>42020623001T000000100</t>
  </si>
  <si>
    <r>
      <rPr>
        <sz val="9"/>
        <color indexed="8"/>
        <rFont val="Calibri"/>
        <charset val="134"/>
      </rPr>
      <t>OA</t>
    </r>
    <r>
      <rPr>
        <sz val="9"/>
        <color indexed="8"/>
        <rFont val="宋体"/>
        <charset val="134"/>
      </rPr>
      <t>协同办公平台</t>
    </r>
  </si>
  <si>
    <t>42020623001T000000101</t>
  </si>
  <si>
    <t>办公楼运维费用</t>
  </si>
  <si>
    <t>42020623001T000000103</t>
  </si>
  <si>
    <t>2011308</t>
  </si>
  <si>
    <t>招商引资</t>
  </si>
  <si>
    <t>42020622001T000000101</t>
  </si>
  <si>
    <t>其他支出</t>
  </si>
  <si>
    <t>42020623001T000000104</t>
  </si>
  <si>
    <t>黄财行发〔2022〕284号</t>
  </si>
  <si>
    <t>002001</t>
  </si>
  <si>
    <r>
      <rPr>
        <b/>
        <sz val="9"/>
        <color indexed="8"/>
        <rFont val="宋体"/>
        <charset val="134"/>
      </rPr>
      <t>　　中共黄石经济技术开发区工委</t>
    </r>
    <r>
      <rPr>
        <b/>
        <sz val="9"/>
        <color indexed="8"/>
        <rFont val="Calibri"/>
        <charset val="134"/>
      </rPr>
      <t>·</t>
    </r>
    <r>
      <rPr>
        <b/>
        <sz val="9"/>
        <color indexed="8"/>
        <rFont val="宋体"/>
        <charset val="134"/>
      </rPr>
      <t>铁山区委组织部本级</t>
    </r>
  </si>
  <si>
    <r>
      <rPr>
        <sz val="9"/>
        <color indexed="8"/>
        <rFont val="宋体"/>
        <charset val="134"/>
      </rPr>
      <t>　　　中共黄石经济技术开发区工委</t>
    </r>
    <r>
      <rPr>
        <sz val="9"/>
        <color indexed="8"/>
        <rFont val="Calibri"/>
        <charset val="134"/>
      </rPr>
      <t>·</t>
    </r>
    <r>
      <rPr>
        <sz val="9"/>
        <color indexed="8"/>
        <rFont val="宋体"/>
        <charset val="134"/>
      </rPr>
      <t>铁山区委组织部本级</t>
    </r>
  </si>
  <si>
    <t>42020623002T000000103</t>
  </si>
  <si>
    <t>职工体检费</t>
  </si>
  <si>
    <t>2013202</t>
  </si>
  <si>
    <t>42020622002T000000107</t>
  </si>
  <si>
    <t>42020622002T000000112</t>
  </si>
  <si>
    <t>42020622002T000000113</t>
  </si>
  <si>
    <t>关心下一代工作委员会工作经费</t>
  </si>
  <si>
    <t>42020622002T000000115</t>
  </si>
  <si>
    <t>劳务派遣制司机</t>
  </si>
  <si>
    <t>2013299</t>
  </si>
  <si>
    <t>其他组织事务支出</t>
  </si>
  <si>
    <t>干部培训经费</t>
  </si>
  <si>
    <t>42020622002T000000116</t>
  </si>
  <si>
    <t>42020622002T000000117</t>
  </si>
  <si>
    <t>42020623002T000000101</t>
  </si>
  <si>
    <t>基层党建专项经费</t>
  </si>
  <si>
    <t>42020623002T000011288</t>
  </si>
  <si>
    <t>选调生到村工作中央财政补助</t>
  </si>
  <si>
    <t>2069999</t>
  </si>
  <si>
    <t>其他科学技术支出</t>
  </si>
  <si>
    <t>42020623002T000000100</t>
  </si>
  <si>
    <t>2130152</t>
  </si>
  <si>
    <t>对高校毕业生到基层任职补助</t>
  </si>
  <si>
    <t>42020622002T000022007</t>
  </si>
  <si>
    <t>2021年选调生到村任职工作补助</t>
  </si>
  <si>
    <t>黄财行发〔2022〕31号</t>
  </si>
  <si>
    <t>2130705</t>
  </si>
  <si>
    <t>对村民委员会和村党支部的补助</t>
  </si>
  <si>
    <t>42020622002T000000104</t>
  </si>
  <si>
    <r>
      <rPr>
        <sz val="9"/>
        <color indexed="8"/>
        <rFont val="宋体"/>
        <charset val="134"/>
      </rPr>
      <t>村级运转保障</t>
    </r>
    <r>
      <rPr>
        <sz val="9"/>
        <color indexed="8"/>
        <rFont val="Calibri"/>
        <charset val="134"/>
      </rPr>
      <t>-</t>
    </r>
    <r>
      <rPr>
        <sz val="9"/>
        <color indexed="8"/>
        <rFont val="宋体"/>
        <charset val="134"/>
      </rPr>
      <t>正常离任村干部生活补贴</t>
    </r>
  </si>
  <si>
    <t>42020622002T000000106</t>
  </si>
  <si>
    <r>
      <rPr>
        <sz val="9"/>
        <color rgb="FF000000"/>
        <rFont val="宋体"/>
        <charset val="134"/>
      </rPr>
      <t>村级运转保障</t>
    </r>
    <r>
      <rPr>
        <sz val="9"/>
        <color rgb="FF000000"/>
        <rFont val="Calibri"/>
        <charset val="134"/>
      </rPr>
      <t>-</t>
    </r>
    <r>
      <rPr>
        <sz val="9"/>
        <color rgb="FF000000"/>
        <rFont val="宋体"/>
        <charset val="134"/>
      </rPr>
      <t>后备干部工作补贴</t>
    </r>
  </si>
  <si>
    <t>003001</t>
  </si>
  <si>
    <t>2011102</t>
  </si>
  <si>
    <t>42020623003T000000100</t>
  </si>
  <si>
    <t>开财发2023</t>
  </si>
  <si>
    <t>42020623003T000000101</t>
  </si>
  <si>
    <t>42020623003T000000102</t>
  </si>
  <si>
    <t>42020623003T000000103</t>
  </si>
  <si>
    <r>
      <rPr>
        <sz val="9"/>
        <color indexed="8"/>
        <rFont val="宋体"/>
        <charset val="134"/>
      </rPr>
      <t>基层党组织纪检书记</t>
    </r>
    <r>
      <rPr>
        <sz val="9"/>
        <color indexed="8"/>
        <rFont val="Calibri"/>
        <charset val="134"/>
      </rPr>
      <t>(</t>
    </r>
    <r>
      <rPr>
        <sz val="9"/>
        <color indexed="8"/>
        <rFont val="宋体"/>
        <charset val="134"/>
      </rPr>
      <t>监察信息员</t>
    </r>
    <r>
      <rPr>
        <sz val="9"/>
        <color indexed="8"/>
        <rFont val="Calibri"/>
        <charset val="134"/>
      </rPr>
      <t>)</t>
    </r>
    <r>
      <rPr>
        <sz val="9"/>
        <color indexed="8"/>
        <rFont val="宋体"/>
        <charset val="134"/>
      </rPr>
      <t>工作经费</t>
    </r>
  </si>
  <si>
    <t>42020623003T000000104</t>
  </si>
  <si>
    <t>专职纪检委员工作经费</t>
  </si>
  <si>
    <t>42020623003T000000105</t>
  </si>
  <si>
    <t>2011199</t>
  </si>
  <si>
    <t>其他纪检监察事务支出</t>
  </si>
  <si>
    <t>004001</t>
  </si>
  <si>
    <r>
      <rPr>
        <b/>
        <sz val="9"/>
        <color indexed="8"/>
        <rFont val="宋体"/>
        <charset val="134"/>
      </rPr>
      <t>　　中共黄石经济技术开发区工委</t>
    </r>
    <r>
      <rPr>
        <b/>
        <sz val="9"/>
        <color indexed="8"/>
        <rFont val="Calibri"/>
        <charset val="134"/>
      </rPr>
      <t>·</t>
    </r>
    <r>
      <rPr>
        <b/>
        <sz val="9"/>
        <color indexed="8"/>
        <rFont val="宋体"/>
        <charset val="134"/>
      </rPr>
      <t>铁山区委政法委员会本级</t>
    </r>
  </si>
  <si>
    <r>
      <rPr>
        <sz val="9"/>
        <color indexed="8"/>
        <rFont val="宋体"/>
        <charset val="134"/>
      </rPr>
      <t>　　　中共黄石经济技术开发区工委</t>
    </r>
    <r>
      <rPr>
        <sz val="9"/>
        <color indexed="8"/>
        <rFont val="Calibri"/>
        <charset val="134"/>
      </rPr>
      <t>·</t>
    </r>
    <r>
      <rPr>
        <sz val="9"/>
        <color indexed="8"/>
        <rFont val="宋体"/>
        <charset val="134"/>
      </rPr>
      <t>铁山区委政法委员会本级</t>
    </r>
  </si>
  <si>
    <t>2013602</t>
  </si>
  <si>
    <t>42020622004T000000113</t>
  </si>
  <si>
    <t>42020623004T000000103</t>
  </si>
  <si>
    <t>综治专项经费</t>
  </si>
  <si>
    <t>42020623004T000000104</t>
  </si>
  <si>
    <t>42020623004T000000105</t>
  </si>
  <si>
    <t>42020623004T000000108</t>
  </si>
  <si>
    <t>42020623004T000000110</t>
  </si>
  <si>
    <r>
      <rPr>
        <sz val="9"/>
        <color indexed="8"/>
        <rFont val="宋体"/>
        <charset val="134"/>
      </rPr>
      <t>治理法轮功、六一</t>
    </r>
    <r>
      <rPr>
        <sz val="9"/>
        <color indexed="8"/>
        <rFont val="Calibri"/>
        <charset val="134"/>
      </rPr>
      <t>0</t>
    </r>
    <r>
      <rPr>
        <sz val="9"/>
        <color indexed="8"/>
        <rFont val="宋体"/>
        <charset val="134"/>
      </rPr>
      <t>专项</t>
    </r>
  </si>
  <si>
    <t>42020623004T000000111</t>
  </si>
  <si>
    <t>42020623004T000000120</t>
  </si>
  <si>
    <t>铁山视频监控</t>
  </si>
  <si>
    <t>42020623004T000000122</t>
  </si>
  <si>
    <t>2013699</t>
  </si>
  <si>
    <t>其他共产党事务支出</t>
  </si>
  <si>
    <t>42020623004T000000102</t>
  </si>
  <si>
    <t>42020623004T000000106</t>
  </si>
  <si>
    <t>42020623004T000000107</t>
  </si>
  <si>
    <t>2040299</t>
  </si>
  <si>
    <t>其他公安支出</t>
  </si>
  <si>
    <t>42020623004T000000112</t>
  </si>
  <si>
    <t>反恐处突</t>
  </si>
  <si>
    <t>42020623004T000000113</t>
  </si>
  <si>
    <t>禁毒工作专项</t>
  </si>
  <si>
    <t>42020623004T000000114</t>
  </si>
  <si>
    <t>扫黑除恶专项</t>
  </si>
  <si>
    <t>42020623004T000000115</t>
  </si>
  <si>
    <t>公安协警经费</t>
  </si>
  <si>
    <t>42020623004T000000117</t>
  </si>
  <si>
    <t>交通协警经费</t>
  </si>
  <si>
    <t>42020623004T000000119</t>
  </si>
  <si>
    <r>
      <rPr>
        <sz val="9"/>
        <color indexed="8"/>
        <rFont val="宋体"/>
        <charset val="134"/>
      </rPr>
      <t>一居一警</t>
    </r>
    <r>
      <rPr>
        <sz val="9"/>
        <color indexed="8"/>
        <rFont val="Calibri"/>
        <charset val="134"/>
      </rPr>
      <t>,</t>
    </r>
    <r>
      <rPr>
        <sz val="9"/>
        <color indexed="8"/>
        <rFont val="宋体"/>
        <charset val="134"/>
      </rPr>
      <t>一村一辅专项经费</t>
    </r>
  </si>
  <si>
    <t>2040499</t>
  </si>
  <si>
    <t>其他检察支出</t>
  </si>
  <si>
    <t>42020623004T000000118</t>
  </si>
  <si>
    <t>检察院政府雇员费用</t>
  </si>
  <si>
    <t>2040599</t>
  </si>
  <si>
    <t>其他法院支出</t>
  </si>
  <si>
    <t>42020623004T000000116</t>
  </si>
  <si>
    <t>铁山法院政府雇员费用</t>
  </si>
  <si>
    <t>2040699</t>
  </si>
  <si>
    <t>其他司法支出</t>
  </si>
  <si>
    <t>42020622004T000000135</t>
  </si>
  <si>
    <t>黄财行发〔2023〕42号</t>
  </si>
  <si>
    <t>005001</t>
  </si>
  <si>
    <t>2030601</t>
  </si>
  <si>
    <t>兵役征集</t>
  </si>
  <si>
    <t>42020622005T000000100</t>
  </si>
  <si>
    <t>2299999</t>
  </si>
  <si>
    <t>42020622005T000000101</t>
  </si>
  <si>
    <t>42020622005T000000102</t>
  </si>
  <si>
    <t>基层武装工作经费</t>
  </si>
  <si>
    <t>42020623005T000000100</t>
  </si>
  <si>
    <t>006001</t>
  </si>
  <si>
    <r>
      <rPr>
        <b/>
        <sz val="9"/>
        <color indexed="8"/>
        <rFont val="宋体"/>
        <charset val="134"/>
      </rPr>
      <t>　　黄石经济技术开发区</t>
    </r>
    <r>
      <rPr>
        <b/>
        <sz val="9"/>
        <color indexed="8"/>
        <rFont val="Calibri"/>
        <charset val="134"/>
      </rPr>
      <t>·</t>
    </r>
    <r>
      <rPr>
        <b/>
        <sz val="9"/>
        <color indexed="8"/>
        <rFont val="宋体"/>
        <charset val="134"/>
      </rPr>
      <t>铁山区市场监督管理局本级</t>
    </r>
  </si>
  <si>
    <r>
      <rPr>
        <sz val="9"/>
        <color indexed="8"/>
        <rFont val="宋体"/>
        <charset val="134"/>
      </rPr>
      <t>　　　黄石经济技术开发区</t>
    </r>
    <r>
      <rPr>
        <sz val="9"/>
        <color indexed="8"/>
        <rFont val="Calibri"/>
        <charset val="134"/>
      </rPr>
      <t>·</t>
    </r>
    <r>
      <rPr>
        <sz val="9"/>
        <color indexed="8"/>
        <rFont val="宋体"/>
        <charset val="134"/>
      </rPr>
      <t>铁山区市场监督管理局本级</t>
    </r>
  </si>
  <si>
    <t>2013802</t>
  </si>
  <si>
    <t>42020622006T000000105</t>
  </si>
  <si>
    <t>42020622006T000000110</t>
  </si>
  <si>
    <t>市场监督管理专项</t>
  </si>
  <si>
    <t>42020623006T000000101</t>
  </si>
  <si>
    <t>42020623006T000000102</t>
  </si>
  <si>
    <t>2013812</t>
  </si>
  <si>
    <t>药品事务</t>
  </si>
  <si>
    <t>42020622006T000001012</t>
  </si>
  <si>
    <t>2021年药品监管补助资金（铁）</t>
  </si>
  <si>
    <t>黄财行发〔2022〕44号</t>
  </si>
  <si>
    <t>42020623006T000010299</t>
  </si>
  <si>
    <t>药品监管补助</t>
  </si>
  <si>
    <t>2013816</t>
  </si>
  <si>
    <t>食品安全监管</t>
  </si>
  <si>
    <t>42020622006T000000106</t>
  </si>
  <si>
    <t>食品安全监管专项</t>
  </si>
  <si>
    <t>黄财行发〔2022〕254号</t>
  </si>
  <si>
    <t>2013899</t>
  </si>
  <si>
    <t>其他市场监督管理事务</t>
  </si>
  <si>
    <t>黄财行发〔2022〕156号</t>
  </si>
  <si>
    <t>42020622006T000000103</t>
  </si>
  <si>
    <t>行政服务大厅修缮经费</t>
  </si>
  <si>
    <t>黄财预发〔2022〕70号</t>
  </si>
  <si>
    <t>007001</t>
  </si>
  <si>
    <t>2010602</t>
  </si>
  <si>
    <t>42020622007T000000102</t>
  </si>
  <si>
    <t>42020622007T000000103</t>
  </si>
  <si>
    <t>投资评审专项</t>
  </si>
  <si>
    <t>42020622007T000000106</t>
  </si>
  <si>
    <t>42020622007T000000107</t>
  </si>
  <si>
    <t>42020622007T000022009</t>
  </si>
  <si>
    <t>2021年预算绩效管理工作补助经费</t>
  </si>
  <si>
    <t>黄财绩发〔2022〕311号</t>
  </si>
  <si>
    <t>42020623007T000000100</t>
  </si>
  <si>
    <t>2010607</t>
  </si>
  <si>
    <t>信息化建设</t>
  </si>
  <si>
    <t>42020622007T000000101</t>
  </si>
  <si>
    <t>财政系统运行与维护</t>
  </si>
  <si>
    <t>008001</t>
  </si>
  <si>
    <r>
      <rPr>
        <b/>
        <sz val="9"/>
        <color indexed="8"/>
        <rFont val="宋体"/>
        <charset val="134"/>
      </rPr>
      <t>　　黄石经济技术开发区</t>
    </r>
    <r>
      <rPr>
        <b/>
        <sz val="9"/>
        <color indexed="8"/>
        <rFont val="Calibri"/>
        <charset val="134"/>
      </rPr>
      <t>·</t>
    </r>
    <r>
      <rPr>
        <b/>
        <sz val="9"/>
        <color indexed="8"/>
        <rFont val="宋体"/>
        <charset val="134"/>
      </rPr>
      <t>铁山区审计局本级</t>
    </r>
  </si>
  <si>
    <r>
      <rPr>
        <sz val="9"/>
        <color indexed="8"/>
        <rFont val="宋体"/>
        <charset val="134"/>
      </rPr>
      <t>　　　黄石经济技术开发区</t>
    </r>
    <r>
      <rPr>
        <sz val="9"/>
        <color indexed="8"/>
        <rFont val="Calibri"/>
        <charset val="134"/>
      </rPr>
      <t>·</t>
    </r>
    <r>
      <rPr>
        <sz val="9"/>
        <color indexed="8"/>
        <rFont val="宋体"/>
        <charset val="134"/>
      </rPr>
      <t>铁山区审计局本级</t>
    </r>
  </si>
  <si>
    <t>2010802</t>
  </si>
  <si>
    <t>42020623008T000000101</t>
  </si>
  <si>
    <t>2010804</t>
  </si>
  <si>
    <t>42020622008T000000100</t>
  </si>
  <si>
    <t>009001</t>
  </si>
  <si>
    <r>
      <rPr>
        <b/>
        <sz val="9"/>
        <color indexed="8"/>
        <rFont val="宋体"/>
        <charset val="134"/>
      </rPr>
      <t>　　黄石经济技术开发区</t>
    </r>
    <r>
      <rPr>
        <b/>
        <sz val="9"/>
        <color indexed="8"/>
        <rFont val="Calibri"/>
        <charset val="134"/>
      </rPr>
      <t>·</t>
    </r>
    <r>
      <rPr>
        <b/>
        <sz val="9"/>
        <color indexed="8"/>
        <rFont val="宋体"/>
        <charset val="134"/>
      </rPr>
      <t>铁山区群团工作部本级</t>
    </r>
  </si>
  <si>
    <r>
      <rPr>
        <sz val="9"/>
        <color indexed="8"/>
        <rFont val="宋体"/>
        <charset val="134"/>
      </rPr>
      <t>　　　黄石经济技术开发区</t>
    </r>
    <r>
      <rPr>
        <sz val="9"/>
        <color indexed="8"/>
        <rFont val="Calibri"/>
        <charset val="134"/>
      </rPr>
      <t>·</t>
    </r>
    <r>
      <rPr>
        <sz val="9"/>
        <color indexed="8"/>
        <rFont val="宋体"/>
        <charset val="134"/>
      </rPr>
      <t>铁山区群团工作部本级</t>
    </r>
  </si>
  <si>
    <t>42020623009T000000113</t>
  </si>
  <si>
    <t>职工体检费用</t>
  </si>
  <si>
    <t>2012902</t>
  </si>
  <si>
    <t>42020623009T000000100</t>
  </si>
  <si>
    <t>妇联工作经费</t>
  </si>
  <si>
    <t>42020623009T000000101</t>
  </si>
  <si>
    <t>42020623009T000000105</t>
  </si>
  <si>
    <t>工青妇换届选举经费</t>
  </si>
  <si>
    <t>2012906</t>
  </si>
  <si>
    <t>工会事务</t>
  </si>
  <si>
    <t>42020623009T000000102</t>
  </si>
  <si>
    <t>42020623009T000000103</t>
  </si>
  <si>
    <t>工会协理员经费专项</t>
  </si>
  <si>
    <t>2012999</t>
  </si>
  <si>
    <t>其他群众团体事务支出</t>
  </si>
  <si>
    <t>42020623009T000000104</t>
  </si>
  <si>
    <t>宫颈癌筛查经费</t>
  </si>
  <si>
    <t>黄财社发〔2022〕292号</t>
  </si>
  <si>
    <t>42020623009T000000106</t>
  </si>
  <si>
    <t>家调委人员经费</t>
  </si>
  <si>
    <t>010001</t>
  </si>
  <si>
    <r>
      <rPr>
        <b/>
        <sz val="9"/>
        <color indexed="8"/>
        <rFont val="宋体"/>
        <charset val="134"/>
      </rPr>
      <t>　　中共黄石经济技术开发区工委</t>
    </r>
    <r>
      <rPr>
        <b/>
        <sz val="9"/>
        <color indexed="8"/>
        <rFont val="Calibri"/>
        <charset val="134"/>
      </rPr>
      <t>·</t>
    </r>
    <r>
      <rPr>
        <b/>
        <sz val="9"/>
        <color indexed="8"/>
        <rFont val="宋体"/>
        <charset val="134"/>
      </rPr>
      <t>铁山区委宣传部本级</t>
    </r>
  </si>
  <si>
    <r>
      <rPr>
        <sz val="9"/>
        <color indexed="8"/>
        <rFont val="宋体"/>
        <charset val="134"/>
      </rPr>
      <t>　　　中共黄石经济技术开发区工委</t>
    </r>
    <r>
      <rPr>
        <sz val="9"/>
        <color indexed="8"/>
        <rFont val="Calibri"/>
        <charset val="134"/>
      </rPr>
      <t>·</t>
    </r>
    <r>
      <rPr>
        <sz val="9"/>
        <color indexed="8"/>
        <rFont val="宋体"/>
        <charset val="134"/>
      </rPr>
      <t>铁山区委宣传部本级</t>
    </r>
  </si>
  <si>
    <t>2013302</t>
  </si>
  <si>
    <t>42020622010T000000100</t>
  </si>
  <si>
    <r>
      <rPr>
        <sz val="9"/>
        <color rgb="FF000000"/>
        <rFont val="宋体"/>
        <charset val="134"/>
      </rPr>
      <t>理论学校中心组</t>
    </r>
    <r>
      <rPr>
        <sz val="9"/>
        <color rgb="FF000000"/>
        <rFont val="Calibri"/>
        <charset val="134"/>
      </rPr>
      <t>(</t>
    </r>
    <r>
      <rPr>
        <sz val="9"/>
        <color rgb="FF000000"/>
        <rFont val="宋体"/>
        <charset val="134"/>
      </rPr>
      <t>宣讲</t>
    </r>
    <r>
      <rPr>
        <sz val="9"/>
        <color rgb="FF000000"/>
        <rFont val="Calibri"/>
        <charset val="134"/>
      </rPr>
      <t>)</t>
    </r>
    <r>
      <rPr>
        <sz val="9"/>
        <color rgb="FF000000"/>
        <rFont val="宋体"/>
        <charset val="134"/>
      </rPr>
      <t>工作经费</t>
    </r>
  </si>
  <si>
    <t>42020622010T000000101</t>
  </si>
  <si>
    <t>文化文艺工作经费</t>
  </si>
  <si>
    <t>42020622010T000000102</t>
  </si>
  <si>
    <t>开财发〔2022〕1号</t>
  </si>
  <si>
    <t>42020622010T000000103</t>
  </si>
  <si>
    <t>宣传工作经费</t>
  </si>
  <si>
    <t>42020623010T000000105</t>
  </si>
  <si>
    <t>2079999</t>
  </si>
  <si>
    <t>其他文化旅游体育与传媒支出</t>
  </si>
  <si>
    <t>011001</t>
  </si>
  <si>
    <r>
      <rPr>
        <b/>
        <sz val="9"/>
        <color indexed="8"/>
        <rFont val="宋体"/>
        <charset val="134"/>
      </rPr>
      <t>　　中共黄石经济技术开发区工委</t>
    </r>
    <r>
      <rPr>
        <b/>
        <sz val="9"/>
        <color indexed="8"/>
        <rFont val="Calibri"/>
        <charset val="134"/>
      </rPr>
      <t>·</t>
    </r>
    <r>
      <rPr>
        <b/>
        <sz val="9"/>
        <color indexed="8"/>
        <rFont val="宋体"/>
        <charset val="134"/>
      </rPr>
      <t>铁山区委统战部本级</t>
    </r>
  </si>
  <si>
    <r>
      <rPr>
        <sz val="9"/>
        <color indexed="8"/>
        <rFont val="宋体"/>
        <charset val="134"/>
      </rPr>
      <t>　　　中共黄石经济技术开发区工委</t>
    </r>
    <r>
      <rPr>
        <sz val="9"/>
        <color indexed="8"/>
        <rFont val="Calibri"/>
        <charset val="134"/>
      </rPr>
      <t>·</t>
    </r>
    <r>
      <rPr>
        <sz val="9"/>
        <color indexed="8"/>
        <rFont val="宋体"/>
        <charset val="134"/>
      </rPr>
      <t>铁山区委统战部本级</t>
    </r>
  </si>
  <si>
    <t>2012505</t>
  </si>
  <si>
    <t>台湾事务</t>
  </si>
  <si>
    <t>42020622011T000000104</t>
  </si>
  <si>
    <t>涉台经济专项资金</t>
  </si>
  <si>
    <t>42020622011T000000106</t>
  </si>
  <si>
    <t>台湾青年工作经费</t>
  </si>
  <si>
    <t>2013402</t>
  </si>
  <si>
    <t>42020622011T000000100</t>
  </si>
  <si>
    <t>统战专项工作经费</t>
  </si>
  <si>
    <t>42020622011T000000103</t>
  </si>
  <si>
    <t>42020623011T000000100</t>
  </si>
  <si>
    <t>2013404</t>
  </si>
  <si>
    <t>宗教事务</t>
  </si>
  <si>
    <t>42020622011T000000102</t>
  </si>
  <si>
    <t>民族宗教</t>
  </si>
  <si>
    <t>2013499</t>
  </si>
  <si>
    <t>其他统战事务支出</t>
  </si>
  <si>
    <t>42020622011T000000101</t>
  </si>
  <si>
    <t>援藏专项经费</t>
  </si>
  <si>
    <t>民族宗教(含宗教团体)</t>
  </si>
  <si>
    <t>黄财行发〔2022〕93号</t>
  </si>
  <si>
    <t>012001</t>
  </si>
  <si>
    <r>
      <rPr>
        <b/>
        <sz val="9"/>
        <color indexed="8"/>
        <rFont val="宋体"/>
        <charset val="134"/>
      </rPr>
      <t>　　黄石经济技术开发区</t>
    </r>
    <r>
      <rPr>
        <b/>
        <sz val="9"/>
        <color indexed="8"/>
        <rFont val="Calibri"/>
        <charset val="134"/>
      </rPr>
      <t>·</t>
    </r>
    <r>
      <rPr>
        <b/>
        <sz val="9"/>
        <color indexed="8"/>
        <rFont val="宋体"/>
        <charset val="134"/>
      </rPr>
      <t>铁山区政务服务和大数据管理局本级</t>
    </r>
  </si>
  <si>
    <r>
      <rPr>
        <sz val="9"/>
        <color indexed="8"/>
        <rFont val="宋体"/>
        <charset val="134"/>
      </rPr>
      <t>　　　黄石经济技术开发区</t>
    </r>
    <r>
      <rPr>
        <sz val="9"/>
        <color indexed="8"/>
        <rFont val="Calibri"/>
        <charset val="134"/>
      </rPr>
      <t>·</t>
    </r>
    <r>
      <rPr>
        <sz val="9"/>
        <color indexed="8"/>
        <rFont val="宋体"/>
        <charset val="134"/>
      </rPr>
      <t>铁山区政务服务和大数据管理局本级</t>
    </r>
  </si>
  <si>
    <t>2013702</t>
  </si>
  <si>
    <t>42020622012T000000100</t>
  </si>
  <si>
    <t>服务大厅运行费用</t>
  </si>
  <si>
    <t>42020622012T000000101</t>
  </si>
  <si>
    <t>42020623012T000000100</t>
  </si>
  <si>
    <t>政务服务建设经费</t>
  </si>
  <si>
    <t>42020623012T000000102</t>
  </si>
  <si>
    <t>2150899</t>
  </si>
  <si>
    <t>其他支持中小企业发展和管理支出</t>
  </si>
  <si>
    <t>42020622012T000000103</t>
  </si>
  <si>
    <t>政府代缴工业项目服务费</t>
  </si>
  <si>
    <t>013001</t>
  </si>
  <si>
    <r>
      <rPr>
        <b/>
        <sz val="9"/>
        <color indexed="8"/>
        <rFont val="宋体"/>
        <charset val="134"/>
      </rPr>
      <t>　　黄石经济技术开发区</t>
    </r>
    <r>
      <rPr>
        <b/>
        <sz val="9"/>
        <color indexed="8"/>
        <rFont val="Calibri"/>
        <charset val="134"/>
      </rPr>
      <t>·</t>
    </r>
    <r>
      <rPr>
        <b/>
        <sz val="9"/>
        <color indexed="8"/>
        <rFont val="宋体"/>
        <charset val="134"/>
      </rPr>
      <t>铁山区民营企业发展促进中心</t>
    </r>
  </si>
  <si>
    <r>
      <rPr>
        <sz val="9"/>
        <color indexed="8"/>
        <rFont val="宋体"/>
        <charset val="134"/>
      </rPr>
      <t>　　　黄石经济技术开发区</t>
    </r>
    <r>
      <rPr>
        <sz val="9"/>
        <color indexed="8"/>
        <rFont val="Calibri"/>
        <charset val="134"/>
      </rPr>
      <t>·</t>
    </r>
    <r>
      <rPr>
        <sz val="9"/>
        <color indexed="8"/>
        <rFont val="宋体"/>
        <charset val="134"/>
      </rPr>
      <t>铁山区民营企业发展促进中心</t>
    </r>
  </si>
  <si>
    <t>42020623013T000000107</t>
  </si>
  <si>
    <t>2010499</t>
  </si>
  <si>
    <t>其他发展与改革事务支出</t>
  </si>
  <si>
    <t>42020622013T000000102</t>
  </si>
  <si>
    <t>落地服务经费</t>
  </si>
  <si>
    <t>黄财建发〔2022〕157号</t>
  </si>
  <si>
    <t>2069901</t>
  </si>
  <si>
    <t>科技奖励</t>
  </si>
  <si>
    <t>42020623013T000000103</t>
  </si>
  <si>
    <t>2150802</t>
  </si>
  <si>
    <t>42020623013T000000100</t>
  </si>
  <si>
    <t>42020623013T000000101</t>
  </si>
  <si>
    <t>42020623013T000000105</t>
  </si>
  <si>
    <t>42020623013T000000106</t>
  </si>
  <si>
    <t>42020623013T000000108</t>
  </si>
  <si>
    <t>42020623013T000000102</t>
  </si>
  <si>
    <t>42020623013T000000104</t>
  </si>
  <si>
    <t>企业厂房装修造价咨询、工程审计费及无尘室鉴定费</t>
  </si>
  <si>
    <t>014001</t>
  </si>
  <si>
    <r>
      <rPr>
        <b/>
        <sz val="9"/>
        <color indexed="8"/>
        <rFont val="宋体"/>
        <charset val="134"/>
      </rPr>
      <t>　　黄石经济技术开发区</t>
    </r>
    <r>
      <rPr>
        <b/>
        <sz val="9"/>
        <color indexed="8"/>
        <rFont val="Calibri"/>
        <charset val="134"/>
      </rPr>
      <t>·</t>
    </r>
    <r>
      <rPr>
        <b/>
        <sz val="9"/>
        <color indexed="8"/>
        <rFont val="宋体"/>
        <charset val="134"/>
      </rPr>
      <t>铁山区统计局本级</t>
    </r>
  </si>
  <si>
    <r>
      <rPr>
        <sz val="9"/>
        <color indexed="8"/>
        <rFont val="宋体"/>
        <charset val="134"/>
      </rPr>
      <t>　　　黄石经济技术开发区</t>
    </r>
    <r>
      <rPr>
        <sz val="9"/>
        <color indexed="8"/>
        <rFont val="Calibri"/>
        <charset val="134"/>
      </rPr>
      <t>·</t>
    </r>
    <r>
      <rPr>
        <sz val="9"/>
        <color indexed="8"/>
        <rFont val="宋体"/>
        <charset val="134"/>
      </rPr>
      <t>铁山区统计局本级</t>
    </r>
  </si>
  <si>
    <t>2010502</t>
  </si>
  <si>
    <t>42020623014T000000104</t>
  </si>
  <si>
    <t>2010507</t>
  </si>
  <si>
    <t>专项普查活动</t>
  </si>
  <si>
    <t>42020623014T000000101</t>
  </si>
  <si>
    <t>015001</t>
  </si>
  <si>
    <r>
      <rPr>
        <b/>
        <sz val="9"/>
        <color indexed="8"/>
        <rFont val="宋体"/>
        <charset val="134"/>
      </rPr>
      <t>　　黄石经济技术开发区</t>
    </r>
    <r>
      <rPr>
        <b/>
        <sz val="9"/>
        <color indexed="8"/>
        <rFont val="Calibri"/>
        <charset val="134"/>
      </rPr>
      <t>·</t>
    </r>
    <r>
      <rPr>
        <b/>
        <sz val="9"/>
        <color indexed="8"/>
        <rFont val="宋体"/>
        <charset val="134"/>
      </rPr>
      <t>铁山区公共资源交易中心本级</t>
    </r>
  </si>
  <si>
    <r>
      <rPr>
        <sz val="9"/>
        <color indexed="8"/>
        <rFont val="宋体"/>
        <charset val="134"/>
      </rPr>
      <t>　　　黄石经济技术开发区</t>
    </r>
    <r>
      <rPr>
        <sz val="9"/>
        <color indexed="8"/>
        <rFont val="Calibri"/>
        <charset val="134"/>
      </rPr>
      <t>·</t>
    </r>
    <r>
      <rPr>
        <sz val="9"/>
        <color indexed="8"/>
        <rFont val="宋体"/>
        <charset val="134"/>
      </rPr>
      <t>铁山区公共资源交易中心本级</t>
    </r>
  </si>
  <si>
    <t>42020622015T000000100</t>
  </si>
  <si>
    <t>公共资源交易中心工作经费</t>
  </si>
  <si>
    <t>42020622015T000000101</t>
  </si>
  <si>
    <t>国土交易公告费</t>
  </si>
  <si>
    <t>42020623015T000000100</t>
  </si>
  <si>
    <t>016001</t>
  </si>
  <si>
    <r>
      <rPr>
        <b/>
        <sz val="9"/>
        <color indexed="8"/>
        <rFont val="宋体"/>
        <charset val="134"/>
      </rPr>
      <t>　　黄石经济技术开发区</t>
    </r>
    <r>
      <rPr>
        <b/>
        <sz val="9"/>
        <color indexed="8"/>
        <rFont val="Calibri"/>
        <charset val="134"/>
      </rPr>
      <t>·</t>
    </r>
    <r>
      <rPr>
        <b/>
        <sz val="9"/>
        <color indexed="8"/>
        <rFont val="宋体"/>
        <charset val="134"/>
      </rPr>
      <t>铁山区司法局</t>
    </r>
  </si>
  <si>
    <r>
      <rPr>
        <sz val="9"/>
        <color indexed="8"/>
        <rFont val="宋体"/>
        <charset val="134"/>
      </rPr>
      <t>　　　黄石经济技术开发区</t>
    </r>
    <r>
      <rPr>
        <sz val="9"/>
        <color indexed="8"/>
        <rFont val="Calibri"/>
        <charset val="134"/>
      </rPr>
      <t>·</t>
    </r>
    <r>
      <rPr>
        <sz val="9"/>
        <color indexed="8"/>
        <rFont val="宋体"/>
        <charset val="134"/>
      </rPr>
      <t>铁山区司法局</t>
    </r>
  </si>
  <si>
    <t>2040607</t>
  </si>
  <si>
    <t>公共法律服务</t>
  </si>
  <si>
    <t>42020623016T000010658</t>
  </si>
  <si>
    <t>公共法律服务体系建设</t>
  </si>
  <si>
    <t>黄财行发〔2022〕197号</t>
  </si>
  <si>
    <t>42020623016T000000100</t>
  </si>
  <si>
    <t>司法所人员经费</t>
  </si>
  <si>
    <t>42020623016T000000101</t>
  </si>
  <si>
    <t>42020623016T000000102</t>
  </si>
  <si>
    <t>42020623016T000000103</t>
  </si>
  <si>
    <t>司法专项工作经费</t>
  </si>
  <si>
    <t>黄财行发〔2023〕44号</t>
  </si>
  <si>
    <r>
      <rPr>
        <b/>
        <sz val="9"/>
        <color indexed="8"/>
        <rFont val="宋体"/>
        <charset val="134"/>
      </rPr>
      <t>　　黄石经济技术开发区</t>
    </r>
    <r>
      <rPr>
        <b/>
        <sz val="9"/>
        <color indexed="8"/>
        <rFont val="Calibri"/>
        <charset val="134"/>
      </rPr>
      <t>·</t>
    </r>
    <r>
      <rPr>
        <b/>
        <sz val="9"/>
        <color indexed="8"/>
        <rFont val="宋体"/>
        <charset val="134"/>
      </rPr>
      <t>铁山区农业农村局本级</t>
    </r>
  </si>
  <si>
    <r>
      <rPr>
        <sz val="9"/>
        <color indexed="8"/>
        <rFont val="宋体"/>
        <charset val="134"/>
      </rPr>
      <t>　　　黄石经济技术开发区</t>
    </r>
    <r>
      <rPr>
        <sz val="9"/>
        <color indexed="8"/>
        <rFont val="Calibri"/>
        <charset val="134"/>
      </rPr>
      <t>·</t>
    </r>
    <r>
      <rPr>
        <sz val="9"/>
        <color indexed="8"/>
        <rFont val="宋体"/>
        <charset val="134"/>
      </rPr>
      <t>铁山区农业农村局本级</t>
    </r>
  </si>
  <si>
    <t>2130102</t>
  </si>
  <si>
    <t>42020623101T000000128</t>
  </si>
  <si>
    <t>42020623101T000000130</t>
  </si>
  <si>
    <t>2130108</t>
  </si>
  <si>
    <t>病虫害控制</t>
  </si>
  <si>
    <t>42020622101T000000122</t>
  </si>
  <si>
    <r>
      <rPr>
        <sz val="9"/>
        <color indexed="8"/>
        <rFont val="宋体"/>
        <charset val="134"/>
      </rPr>
      <t>动物防疫</t>
    </r>
    <r>
      <rPr>
        <sz val="9"/>
        <color indexed="8"/>
        <rFont val="Calibri"/>
        <charset val="134"/>
      </rPr>
      <t>(</t>
    </r>
    <r>
      <rPr>
        <sz val="9"/>
        <color indexed="8"/>
        <rFont val="宋体"/>
        <charset val="134"/>
      </rPr>
      <t>动物疫情防控、应急处置、检验检疫</t>
    </r>
    <r>
      <rPr>
        <sz val="9"/>
        <color indexed="8"/>
        <rFont val="Calibri"/>
        <charset val="134"/>
      </rPr>
      <t>)</t>
    </r>
  </si>
  <si>
    <t>2130120</t>
  </si>
  <si>
    <t>稳定农民收入补贴</t>
  </si>
  <si>
    <t>42020623101T000000122</t>
  </si>
  <si>
    <t>农村社会事业</t>
  </si>
  <si>
    <t>42020623101T000000121</t>
  </si>
  <si>
    <t>2130135</t>
  </si>
  <si>
    <t>农业资源保护修复与利用</t>
  </si>
  <si>
    <t>42020622101T000000167</t>
  </si>
  <si>
    <t>耕地生产障碍修复利用</t>
  </si>
  <si>
    <t>黄财农发〔2022〕259号</t>
  </si>
  <si>
    <t>2130153</t>
  </si>
  <si>
    <t>农田建设</t>
  </si>
  <si>
    <t>42020622101T000000118</t>
  </si>
  <si>
    <t>农业专项</t>
  </si>
  <si>
    <t>2130199</t>
  </si>
  <si>
    <t>其他农业农村支出</t>
  </si>
  <si>
    <t>42020622101T000000119</t>
  </si>
  <si>
    <t>42020622101T000000124</t>
  </si>
  <si>
    <t>42020622101T000000125</t>
  </si>
  <si>
    <r>
      <rPr>
        <sz val="9"/>
        <color indexed="8"/>
        <rFont val="宋体"/>
        <charset val="134"/>
      </rPr>
      <t>乡村振兴</t>
    </r>
    <r>
      <rPr>
        <sz val="9"/>
        <color indexed="8"/>
        <rFont val="Calibri"/>
        <charset val="134"/>
      </rPr>
      <t>(</t>
    </r>
    <r>
      <rPr>
        <sz val="9"/>
        <color indexed="8"/>
        <rFont val="宋体"/>
        <charset val="134"/>
      </rPr>
      <t>巩固脱贫成果</t>
    </r>
    <r>
      <rPr>
        <sz val="9"/>
        <color indexed="8"/>
        <rFont val="Calibri"/>
        <charset val="134"/>
      </rPr>
      <t>)</t>
    </r>
    <r>
      <rPr>
        <sz val="9"/>
        <color indexed="8"/>
        <rFont val="宋体"/>
        <charset val="134"/>
      </rPr>
      <t>信息员工资</t>
    </r>
  </si>
  <si>
    <t>42020622101T000000126</t>
  </si>
  <si>
    <r>
      <rPr>
        <sz val="9"/>
        <color indexed="8"/>
        <rFont val="宋体"/>
        <charset val="134"/>
      </rPr>
      <t>乡村振兴</t>
    </r>
    <r>
      <rPr>
        <sz val="9"/>
        <color indexed="8"/>
        <rFont val="Calibri"/>
        <charset val="134"/>
      </rPr>
      <t>(</t>
    </r>
    <r>
      <rPr>
        <sz val="9"/>
        <color indexed="8"/>
        <rFont val="宋体"/>
        <charset val="134"/>
      </rPr>
      <t>巩固脱贫成果</t>
    </r>
    <r>
      <rPr>
        <sz val="9"/>
        <color indexed="8"/>
        <rFont val="Calibri"/>
        <charset val="134"/>
      </rPr>
      <t>)</t>
    </r>
    <r>
      <rPr>
        <sz val="9"/>
        <color indexed="8"/>
        <rFont val="宋体"/>
        <charset val="134"/>
      </rPr>
      <t>工作经费</t>
    </r>
  </si>
  <si>
    <t>42020623101T000000100</t>
  </si>
  <si>
    <t>42020623101T000000123</t>
  </si>
  <si>
    <t>农业农村专项工作经费</t>
  </si>
  <si>
    <t>42020623101T000000124</t>
  </si>
  <si>
    <t>农林水专项经费</t>
  </si>
  <si>
    <t>42020623101T000000126</t>
  </si>
  <si>
    <t>2130209</t>
  </si>
  <si>
    <t>森林生态效益补偿</t>
  </si>
  <si>
    <t>42020622101T000000132</t>
  </si>
  <si>
    <t>林业有害生物防治</t>
  </si>
  <si>
    <t>黄财建发〔2022〕107号</t>
  </si>
  <si>
    <t>42020623101T000000103</t>
  </si>
  <si>
    <t>林业专项工作经费</t>
  </si>
  <si>
    <t>2130223</t>
  </si>
  <si>
    <t>信息管理</t>
  </si>
  <si>
    <t>42020622101T000000127</t>
  </si>
  <si>
    <t>林业调查</t>
  </si>
  <si>
    <t>2130234</t>
  </si>
  <si>
    <t>林业草原防灾减灾</t>
  </si>
  <si>
    <t>42020622101T000000112</t>
  </si>
  <si>
    <t>森林防火</t>
  </si>
  <si>
    <t>2130299</t>
  </si>
  <si>
    <t>其他林业和草原支出</t>
  </si>
  <si>
    <t>42020622101T000000114</t>
  </si>
  <si>
    <t>林长制经费</t>
  </si>
  <si>
    <t>2130310</t>
  </si>
  <si>
    <t>水土保持</t>
  </si>
  <si>
    <t>42020622101T000000105</t>
  </si>
  <si>
    <t>水土保持方案评审服务费</t>
  </si>
  <si>
    <t>2130314</t>
  </si>
  <si>
    <t>防汛</t>
  </si>
  <si>
    <t>42020622101T000000123</t>
  </si>
  <si>
    <t>2130316</t>
  </si>
  <si>
    <t>农村水利</t>
  </si>
  <si>
    <t>42020622101T000000103</t>
  </si>
  <si>
    <t>水利工程运行管护经费(开)</t>
  </si>
  <si>
    <t>2130399</t>
  </si>
  <si>
    <t>其他水利支出</t>
  </si>
  <si>
    <t>黄财农发〔2022〕97号</t>
  </si>
  <si>
    <t>42020623101T000000101</t>
  </si>
  <si>
    <t>2130505</t>
  </si>
  <si>
    <t>生产发展</t>
  </si>
  <si>
    <t>42020622101T000000100</t>
  </si>
  <si>
    <t>乡村振兴(巩固脱贫成果)项目资金</t>
  </si>
  <si>
    <t>2130599</t>
  </si>
  <si>
    <t>其他巩固脱贫攻坚成果衔接乡村振兴支出</t>
  </si>
  <si>
    <r>
      <rPr>
        <sz val="9"/>
        <color indexed="8"/>
        <rFont val="宋体"/>
        <charset val="134"/>
      </rPr>
      <t>乡村振兴</t>
    </r>
    <r>
      <rPr>
        <sz val="9"/>
        <color indexed="8"/>
        <rFont val="Calibri"/>
        <charset val="134"/>
      </rPr>
      <t>(</t>
    </r>
    <r>
      <rPr>
        <sz val="9"/>
        <color indexed="8"/>
        <rFont val="宋体"/>
        <charset val="134"/>
      </rPr>
      <t>巩固脱贫成果</t>
    </r>
    <r>
      <rPr>
        <sz val="9"/>
        <color indexed="8"/>
        <rFont val="Calibri"/>
        <charset val="134"/>
      </rPr>
      <t>)</t>
    </r>
    <r>
      <rPr>
        <sz val="9"/>
        <color indexed="8"/>
        <rFont val="宋体"/>
        <charset val="134"/>
      </rPr>
      <t>项目资金</t>
    </r>
  </si>
  <si>
    <t>420206221010310000110</t>
  </si>
  <si>
    <t>农林水支出水利水利工程建设</t>
  </si>
  <si>
    <t>黄财债发〔2023〕231号</t>
  </si>
  <si>
    <t>42020622101T000000116</t>
  </si>
  <si>
    <t>林业有害生物防治及疫木监管</t>
  </si>
  <si>
    <t>2139999</t>
  </si>
  <si>
    <t>其他农林水支出</t>
  </si>
  <si>
    <t>黄财农村发〔2023〕27号</t>
  </si>
  <si>
    <t>2240104</t>
  </si>
  <si>
    <t>灾害风险防治</t>
  </si>
  <si>
    <t>42020622101T000000134</t>
  </si>
  <si>
    <t>第一次全国自然灾害综合风险普查工作经费(2021启动)</t>
  </si>
  <si>
    <t>42020622101T000022012</t>
  </si>
  <si>
    <t>新型农业经营主体贷款贴息</t>
  </si>
  <si>
    <t>黄财农发〔2023〕235号</t>
  </si>
  <si>
    <t>2130507</t>
  </si>
  <si>
    <t>贷款奖补和贴息</t>
  </si>
  <si>
    <t>黄财农发〔2023〕236号</t>
  </si>
  <si>
    <t>2249999</t>
  </si>
  <si>
    <t>其他灾害防治及应急管理支出</t>
  </si>
  <si>
    <r>
      <rPr>
        <b/>
        <sz val="9"/>
        <color indexed="8"/>
        <rFont val="宋体"/>
        <charset val="134"/>
      </rPr>
      <t>　　黄石经济技术开发区</t>
    </r>
    <r>
      <rPr>
        <b/>
        <sz val="9"/>
        <color indexed="8"/>
        <rFont val="Calibri"/>
        <charset val="134"/>
      </rPr>
      <t>·</t>
    </r>
    <r>
      <rPr>
        <b/>
        <sz val="9"/>
        <color indexed="8"/>
        <rFont val="宋体"/>
        <charset val="134"/>
      </rPr>
      <t>铁山区人力资源和社会保障局本级</t>
    </r>
  </si>
  <si>
    <r>
      <rPr>
        <sz val="9"/>
        <color indexed="8"/>
        <rFont val="宋体"/>
        <charset val="134"/>
      </rPr>
      <t>　　　黄石经济技术开发区</t>
    </r>
    <r>
      <rPr>
        <sz val="9"/>
        <color indexed="8"/>
        <rFont val="Calibri"/>
        <charset val="134"/>
      </rPr>
      <t>·</t>
    </r>
    <r>
      <rPr>
        <sz val="9"/>
        <color indexed="8"/>
        <rFont val="宋体"/>
        <charset val="134"/>
      </rPr>
      <t>铁山区人力资源和社会保障局本级</t>
    </r>
  </si>
  <si>
    <t>2080102</t>
  </si>
  <si>
    <t>42020622201T000000100</t>
  </si>
  <si>
    <t>劳务派遣</t>
  </si>
  <si>
    <t>42020622201T000000103</t>
  </si>
  <si>
    <t>人社养事</t>
  </si>
  <si>
    <t>42020623201T000000100</t>
  </si>
  <si>
    <t>42020623201T000000101</t>
  </si>
  <si>
    <t>42020623201T000000110</t>
  </si>
  <si>
    <t>2080199</t>
  </si>
  <si>
    <t>其他人力资源和社会保障管理事务支出</t>
  </si>
  <si>
    <t>42020622201T000000113</t>
  </si>
  <si>
    <t>人力资源产业园费用</t>
  </si>
  <si>
    <t>42020622201T000000117</t>
  </si>
  <si>
    <t>42020622201T000000127</t>
  </si>
  <si>
    <r>
      <rPr>
        <sz val="9"/>
        <color indexed="8"/>
        <rFont val="Calibri"/>
        <charset val="134"/>
      </rPr>
      <t>2021</t>
    </r>
    <r>
      <rPr>
        <sz val="9"/>
        <color indexed="8"/>
        <rFont val="宋体"/>
        <charset val="134"/>
      </rPr>
      <t>年开发区</t>
    </r>
    <r>
      <rPr>
        <sz val="9"/>
        <color indexed="8"/>
        <rFont val="Calibri"/>
        <charset val="134"/>
      </rPr>
      <t>·</t>
    </r>
    <r>
      <rPr>
        <sz val="9"/>
        <color indexed="8"/>
        <rFont val="宋体"/>
        <charset val="134"/>
      </rPr>
      <t>铁山区优化营商环境先进个人奖金</t>
    </r>
  </si>
  <si>
    <t>42020623201T000000105</t>
  </si>
  <si>
    <t>“三支一扶”-转移支付</t>
  </si>
  <si>
    <t>2080507</t>
  </si>
  <si>
    <t>对机关事业单位基本养老保险基金的补助</t>
  </si>
  <si>
    <t>42020622201T000000109</t>
  </si>
  <si>
    <t>42020623201T000000104</t>
  </si>
  <si>
    <r>
      <rPr>
        <sz val="9"/>
        <color indexed="8"/>
        <rFont val="宋体"/>
        <charset val="134"/>
      </rPr>
      <t>机关事业单位养老保险补助</t>
    </r>
    <r>
      <rPr>
        <sz val="9"/>
        <color indexed="8"/>
        <rFont val="Calibri"/>
        <charset val="134"/>
      </rPr>
      <t>-</t>
    </r>
    <r>
      <rPr>
        <sz val="9"/>
        <color indexed="8"/>
        <rFont val="宋体"/>
        <charset val="134"/>
      </rPr>
      <t>转移支付</t>
    </r>
  </si>
  <si>
    <t>2080701</t>
  </si>
  <si>
    <t>就业创业服务补贴</t>
  </si>
  <si>
    <t>42020622201T000000111</t>
  </si>
  <si>
    <t>2080799</t>
  </si>
  <si>
    <t>其他就业补助支出</t>
  </si>
  <si>
    <t>42020622201T000002028</t>
  </si>
  <si>
    <t>就业专项资金</t>
  </si>
  <si>
    <t>黄财社发〔2022〕255号</t>
  </si>
  <si>
    <t>42020623201T000000106</t>
  </si>
  <si>
    <r>
      <rPr>
        <sz val="9"/>
        <color indexed="8"/>
        <rFont val="宋体"/>
        <charset val="134"/>
      </rPr>
      <t>就业补助资金</t>
    </r>
    <r>
      <rPr>
        <sz val="9"/>
        <color indexed="8"/>
        <rFont val="Calibri"/>
        <charset val="134"/>
      </rPr>
      <t>-</t>
    </r>
    <r>
      <rPr>
        <sz val="9"/>
        <color indexed="8"/>
        <rFont val="宋体"/>
        <charset val="134"/>
      </rPr>
      <t>转移支付</t>
    </r>
  </si>
  <si>
    <t>2082602</t>
  </si>
  <si>
    <t>财政对城乡居民基本养老保险基金的补助</t>
  </si>
  <si>
    <t>42020622201T000000115</t>
  </si>
  <si>
    <t>城乡居民社会养老保险基金补助(开)</t>
  </si>
  <si>
    <t>42020623201T000000107</t>
  </si>
  <si>
    <t>城乡居民社会养老保险基金补助</t>
  </si>
  <si>
    <t>2083099</t>
  </si>
  <si>
    <t>财政代缴其他社会保险费支出</t>
  </si>
  <si>
    <t>42020623201T000000103</t>
  </si>
  <si>
    <t>代缴困难人员城乡居民养老保险资金</t>
  </si>
  <si>
    <t>42020622201T000000108</t>
  </si>
  <si>
    <t>三支一扶</t>
  </si>
  <si>
    <r>
      <rPr>
        <sz val="9"/>
        <color indexed="8"/>
        <rFont val="Calibri"/>
        <charset val="134"/>
      </rPr>
      <t>“</t>
    </r>
    <r>
      <rPr>
        <sz val="9"/>
        <color indexed="8"/>
        <rFont val="宋体"/>
        <charset val="134"/>
      </rPr>
      <t>三支一扶</t>
    </r>
    <r>
      <rPr>
        <sz val="9"/>
        <color indexed="8"/>
        <rFont val="Calibri"/>
        <charset val="134"/>
      </rPr>
      <t>”-</t>
    </r>
    <r>
      <rPr>
        <sz val="9"/>
        <color indexed="8"/>
        <rFont val="宋体"/>
        <charset val="134"/>
      </rPr>
      <t>转移支付</t>
    </r>
  </si>
  <si>
    <r>
      <rPr>
        <b/>
        <sz val="9"/>
        <color indexed="8"/>
        <rFont val="宋体"/>
        <charset val="134"/>
      </rPr>
      <t>　　黄石经济技术开发区</t>
    </r>
    <r>
      <rPr>
        <b/>
        <sz val="9"/>
        <color indexed="8"/>
        <rFont val="Calibri"/>
        <charset val="134"/>
      </rPr>
      <t>·</t>
    </r>
    <r>
      <rPr>
        <b/>
        <sz val="9"/>
        <color indexed="8"/>
        <rFont val="宋体"/>
        <charset val="134"/>
      </rPr>
      <t>铁山区民政局本级</t>
    </r>
  </si>
  <si>
    <r>
      <rPr>
        <sz val="9"/>
        <color indexed="8"/>
        <rFont val="宋体"/>
        <charset val="134"/>
      </rPr>
      <t>　　　黄石经济技术开发区</t>
    </r>
    <r>
      <rPr>
        <sz val="9"/>
        <color indexed="8"/>
        <rFont val="Calibri"/>
        <charset val="134"/>
      </rPr>
      <t>·</t>
    </r>
    <r>
      <rPr>
        <sz val="9"/>
        <color indexed="8"/>
        <rFont val="宋体"/>
        <charset val="134"/>
      </rPr>
      <t>铁山区民政局本级</t>
    </r>
  </si>
  <si>
    <t>2080202</t>
  </si>
  <si>
    <t>42020622202T000000117</t>
  </si>
  <si>
    <t>42020623202T000000102</t>
  </si>
  <si>
    <t>民政专项工作经费</t>
  </si>
  <si>
    <t>42020623202T000000113</t>
  </si>
  <si>
    <t>2080208</t>
  </si>
  <si>
    <t>基层政权建设和社区治理</t>
  </si>
  <si>
    <t>42020622202T000000107</t>
  </si>
  <si>
    <t>基层政权和社区建设</t>
  </si>
  <si>
    <t>黄财社发﹝2022﹞257号</t>
  </si>
  <si>
    <t>2081002</t>
  </si>
  <si>
    <t>老年福利</t>
  </si>
  <si>
    <t>42020622202T000000109</t>
  </si>
  <si>
    <r>
      <rPr>
        <sz val="9"/>
        <color indexed="8"/>
        <rFont val="宋体"/>
        <charset val="134"/>
      </rPr>
      <t>老年事业经费</t>
    </r>
    <r>
      <rPr>
        <sz val="9"/>
        <color indexed="8"/>
        <rFont val="Calibri"/>
        <charset val="134"/>
      </rPr>
      <t>(</t>
    </r>
    <r>
      <rPr>
        <sz val="9"/>
        <color indexed="8"/>
        <rFont val="宋体"/>
        <charset val="134"/>
      </rPr>
      <t>养老服务补贴</t>
    </r>
    <r>
      <rPr>
        <sz val="9"/>
        <color indexed="8"/>
        <rFont val="Calibri"/>
        <charset val="134"/>
      </rPr>
      <t>)</t>
    </r>
  </si>
  <si>
    <t>42020622202T000000110</t>
  </si>
  <si>
    <t>高龄津贴</t>
  </si>
  <si>
    <t>42020622202T000000112</t>
  </si>
  <si>
    <t>42020622202T000002035</t>
  </si>
  <si>
    <t>市民政局付2021年养老服务资金</t>
  </si>
  <si>
    <t>黄财社发〔2022〕170号</t>
  </si>
  <si>
    <t>2081006</t>
  </si>
  <si>
    <t>养老服务</t>
  </si>
  <si>
    <t>42020622202T000000111</t>
  </si>
  <si>
    <r>
      <rPr>
        <sz val="9"/>
        <color indexed="8"/>
        <rFont val="宋体"/>
        <charset val="134"/>
      </rPr>
      <t>社会化养老服务</t>
    </r>
    <r>
      <rPr>
        <sz val="9"/>
        <color indexed="8"/>
        <rFont val="Calibri"/>
        <charset val="134"/>
      </rPr>
      <t>(</t>
    </r>
    <r>
      <rPr>
        <sz val="9"/>
        <color indexed="8"/>
        <rFont val="宋体"/>
        <charset val="134"/>
      </rPr>
      <t>床位费补贴</t>
    </r>
    <r>
      <rPr>
        <sz val="9"/>
        <color indexed="8"/>
        <rFont val="Calibri"/>
        <charset val="134"/>
      </rPr>
      <t>)</t>
    </r>
  </si>
  <si>
    <t>42020622202T000000114</t>
  </si>
  <si>
    <t>42020622202T000001031</t>
  </si>
  <si>
    <t>2021年省级民政一般性转移支付（第二批）</t>
  </si>
  <si>
    <t>黄财社发〔2021〕93</t>
  </si>
  <si>
    <t>2081099</t>
  </si>
  <si>
    <t>其他社会福利支出</t>
  </si>
  <si>
    <t>42020623202T000000100</t>
  </si>
  <si>
    <r>
      <rPr>
        <sz val="9"/>
        <color indexed="8"/>
        <rFont val="宋体"/>
        <charset val="134"/>
      </rPr>
      <t>困难群众救助</t>
    </r>
    <r>
      <rPr>
        <sz val="9"/>
        <color indexed="8"/>
        <rFont val="Calibri"/>
        <charset val="134"/>
      </rPr>
      <t>-</t>
    </r>
    <r>
      <rPr>
        <sz val="9"/>
        <color indexed="8"/>
        <rFont val="宋体"/>
        <charset val="134"/>
      </rPr>
      <t>转移支付</t>
    </r>
  </si>
  <si>
    <t>42020623202T000000112</t>
  </si>
  <si>
    <r>
      <rPr>
        <sz val="9"/>
        <color indexed="8"/>
        <rFont val="宋体"/>
        <charset val="134"/>
      </rPr>
      <t>高龄失能老人补贴</t>
    </r>
    <r>
      <rPr>
        <sz val="9"/>
        <color indexed="8"/>
        <rFont val="Calibri"/>
        <charset val="134"/>
      </rPr>
      <t>-</t>
    </r>
    <r>
      <rPr>
        <sz val="9"/>
        <color indexed="8"/>
        <rFont val="宋体"/>
        <charset val="134"/>
      </rPr>
      <t>转移支付</t>
    </r>
  </si>
  <si>
    <t>2081107</t>
  </si>
  <si>
    <t>残疾人生活和护理补贴</t>
  </si>
  <si>
    <t>42020623202T000000109</t>
  </si>
  <si>
    <r>
      <rPr>
        <sz val="9"/>
        <color indexed="8"/>
        <rFont val="宋体"/>
        <charset val="134"/>
      </rPr>
      <t>残疾人两补</t>
    </r>
    <r>
      <rPr>
        <sz val="9"/>
        <color indexed="8"/>
        <rFont val="Calibri"/>
        <charset val="134"/>
      </rPr>
      <t>-</t>
    </r>
    <r>
      <rPr>
        <sz val="9"/>
        <color indexed="8"/>
        <rFont val="宋体"/>
        <charset val="134"/>
      </rPr>
      <t>转移支付</t>
    </r>
  </si>
  <si>
    <t>2081902</t>
  </si>
  <si>
    <t>农村最低生活保障金支出</t>
  </si>
  <si>
    <t>42020623202T000000110</t>
  </si>
  <si>
    <t>社会救助资金</t>
  </si>
  <si>
    <t>2082502</t>
  </si>
  <si>
    <t>其他农村生活救助</t>
  </si>
  <si>
    <t>42020622202T000000116</t>
  </si>
  <si>
    <t>慰问救济</t>
  </si>
  <si>
    <t>2089999</t>
  </si>
  <si>
    <t>其他社会保障和就业支出</t>
  </si>
  <si>
    <t>42020623202T000000114</t>
  </si>
  <si>
    <t>省级转移支付资金</t>
  </si>
  <si>
    <t>2101301</t>
  </si>
  <si>
    <t>城乡医疗救助</t>
  </si>
  <si>
    <t>42020623202T000000101</t>
  </si>
  <si>
    <r>
      <rPr>
        <sz val="9"/>
        <color indexed="8"/>
        <rFont val="宋体"/>
        <charset val="134"/>
      </rPr>
      <t>社会救助</t>
    </r>
    <r>
      <rPr>
        <sz val="9"/>
        <color indexed="8"/>
        <rFont val="Calibri"/>
        <charset val="134"/>
      </rPr>
      <t>-</t>
    </r>
    <r>
      <rPr>
        <sz val="9"/>
        <color indexed="8"/>
        <rFont val="宋体"/>
        <charset val="134"/>
      </rPr>
      <t>转移支付</t>
    </r>
  </si>
  <si>
    <t>42020622202T000000115</t>
  </si>
  <si>
    <t>困难群众生活救助</t>
  </si>
  <si>
    <r>
      <rPr>
        <b/>
        <sz val="9"/>
        <color indexed="8"/>
        <rFont val="宋体"/>
        <charset val="134"/>
      </rPr>
      <t>　　黄石经济技术开发区</t>
    </r>
    <r>
      <rPr>
        <b/>
        <sz val="9"/>
        <color indexed="8"/>
        <rFont val="Calibri"/>
        <charset val="134"/>
      </rPr>
      <t>·</t>
    </r>
    <r>
      <rPr>
        <b/>
        <sz val="9"/>
        <color indexed="8"/>
        <rFont val="宋体"/>
        <charset val="134"/>
      </rPr>
      <t>铁山区残疾人联合会本级</t>
    </r>
  </si>
  <si>
    <r>
      <rPr>
        <sz val="9"/>
        <color indexed="8"/>
        <rFont val="宋体"/>
        <charset val="134"/>
      </rPr>
      <t>　　　黄石经济技术开发区</t>
    </r>
    <r>
      <rPr>
        <sz val="9"/>
        <color indexed="8"/>
        <rFont val="Calibri"/>
        <charset val="134"/>
      </rPr>
      <t>·</t>
    </r>
    <r>
      <rPr>
        <sz val="9"/>
        <color indexed="8"/>
        <rFont val="宋体"/>
        <charset val="134"/>
      </rPr>
      <t>铁山区残疾人联合会本级</t>
    </r>
  </si>
  <si>
    <t>2081102</t>
  </si>
  <si>
    <t>42020622203T000000102</t>
  </si>
  <si>
    <t>残疾人事业工作经费</t>
  </si>
  <si>
    <t>42020623203T000000105</t>
  </si>
  <si>
    <t>2081104</t>
  </si>
  <si>
    <t>残疾人康复</t>
  </si>
  <si>
    <t>42020622203T000000103</t>
  </si>
  <si>
    <t>社区残疾人精准康复</t>
  </si>
  <si>
    <t>黄财社发[2022]180号</t>
  </si>
  <si>
    <t>42020622203T000000105</t>
  </si>
  <si>
    <t>精神病防治康复经费</t>
  </si>
  <si>
    <t>42020622203T000000108</t>
  </si>
  <si>
    <t>残疾儿童康复救助家庭生活补助</t>
  </si>
  <si>
    <t>黄财社发〔2022〕180号</t>
  </si>
  <si>
    <t>42020623203T000000100</t>
  </si>
  <si>
    <t>2081199</t>
  </si>
  <si>
    <t>其他残疾人事业支出</t>
  </si>
  <si>
    <t>420206222030310000102</t>
  </si>
  <si>
    <t>42020622203T000000101</t>
  </si>
  <si>
    <t>黄财社发〔2022〕45号</t>
  </si>
  <si>
    <t>42020622203T000000107</t>
  </si>
  <si>
    <t>残疾人无障碍改造配套</t>
  </si>
  <si>
    <t>42020622203T000000109</t>
  </si>
  <si>
    <t>残疾人就业保障金</t>
  </si>
  <si>
    <t>黄财社发〔2022〕112号</t>
  </si>
  <si>
    <t>42020622203T000002042</t>
  </si>
  <si>
    <t>市残联付2021年度阳光家园计划项目资金（中央）</t>
  </si>
  <si>
    <t>42020623203T000000101</t>
  </si>
  <si>
    <r>
      <rPr>
        <sz val="9"/>
        <color indexed="8"/>
        <rFont val="宋体"/>
        <charset val="134"/>
      </rPr>
      <t>残保金</t>
    </r>
    <r>
      <rPr>
        <sz val="9"/>
        <color indexed="8"/>
        <rFont val="Calibri"/>
        <charset val="134"/>
      </rPr>
      <t>-</t>
    </r>
    <r>
      <rPr>
        <sz val="9"/>
        <color indexed="8"/>
        <rFont val="宋体"/>
        <charset val="134"/>
      </rPr>
      <t>转移支付</t>
    </r>
  </si>
  <si>
    <t>42020623203T000000104</t>
  </si>
  <si>
    <t>残疾人之家</t>
  </si>
  <si>
    <r>
      <rPr>
        <b/>
        <sz val="9"/>
        <color indexed="8"/>
        <rFont val="宋体"/>
        <charset val="134"/>
      </rPr>
      <t>　　黄石经济技术开发区</t>
    </r>
    <r>
      <rPr>
        <b/>
        <sz val="9"/>
        <color indexed="8"/>
        <rFont val="Calibri"/>
        <charset val="134"/>
      </rPr>
      <t>·</t>
    </r>
    <r>
      <rPr>
        <b/>
        <sz val="9"/>
        <color indexed="8"/>
        <rFont val="宋体"/>
        <charset val="134"/>
      </rPr>
      <t>铁山区退役军人事务局本级</t>
    </r>
  </si>
  <si>
    <r>
      <rPr>
        <sz val="9"/>
        <color indexed="8"/>
        <rFont val="宋体"/>
        <charset val="134"/>
      </rPr>
      <t>　　　黄石经济技术开发区</t>
    </r>
    <r>
      <rPr>
        <sz val="9"/>
        <color indexed="8"/>
        <rFont val="Calibri"/>
        <charset val="134"/>
      </rPr>
      <t>·</t>
    </r>
    <r>
      <rPr>
        <sz val="9"/>
        <color indexed="8"/>
        <rFont val="宋体"/>
        <charset val="134"/>
      </rPr>
      <t>铁山区退役军人事务局本级</t>
    </r>
  </si>
  <si>
    <t>2080802</t>
  </si>
  <si>
    <t>伤残抚恤</t>
  </si>
  <si>
    <t>42020622204T000000104</t>
  </si>
  <si>
    <t>2080805</t>
  </si>
  <si>
    <t>义务兵优待</t>
  </si>
  <si>
    <t>420206222040310000101</t>
  </si>
  <si>
    <t>黄财社发〔2022〕174号</t>
  </si>
  <si>
    <t>黄财社发〔2022〕282号</t>
  </si>
  <si>
    <t>42020622204T000000105</t>
  </si>
  <si>
    <t>42020623204T000000106</t>
  </si>
  <si>
    <r>
      <rPr>
        <sz val="9"/>
        <color indexed="8"/>
        <rFont val="宋体"/>
        <charset val="134"/>
      </rPr>
      <t>义务兵优待金</t>
    </r>
    <r>
      <rPr>
        <sz val="9"/>
        <color indexed="8"/>
        <rFont val="Calibri"/>
        <charset val="134"/>
      </rPr>
      <t>-</t>
    </r>
    <r>
      <rPr>
        <sz val="9"/>
        <color indexed="8"/>
        <rFont val="宋体"/>
        <charset val="134"/>
      </rPr>
      <t>转移支付</t>
    </r>
  </si>
  <si>
    <t>42020623204T000000107</t>
  </si>
  <si>
    <r>
      <rPr>
        <sz val="9"/>
        <color indexed="8"/>
        <rFont val="宋体"/>
        <charset val="134"/>
      </rPr>
      <t>优抚对象补助</t>
    </r>
    <r>
      <rPr>
        <sz val="9"/>
        <color indexed="8"/>
        <rFont val="Calibri"/>
        <charset val="134"/>
      </rPr>
      <t>-</t>
    </r>
    <r>
      <rPr>
        <sz val="9"/>
        <color indexed="8"/>
        <rFont val="宋体"/>
        <charset val="134"/>
      </rPr>
      <t>转移支付</t>
    </r>
  </si>
  <si>
    <t>2080899</t>
  </si>
  <si>
    <t>其他优抚支出</t>
  </si>
  <si>
    <t>黄财社发[2022]204号</t>
  </si>
  <si>
    <t>2080901</t>
  </si>
  <si>
    <t>42020622204T000000101</t>
  </si>
  <si>
    <t>42020623204T000000108</t>
  </si>
  <si>
    <r>
      <rPr>
        <sz val="9"/>
        <color indexed="8"/>
        <rFont val="宋体"/>
        <charset val="134"/>
      </rPr>
      <t>退役士兵安置</t>
    </r>
    <r>
      <rPr>
        <sz val="9"/>
        <color indexed="8"/>
        <rFont val="Calibri"/>
        <charset val="134"/>
      </rPr>
      <t>-</t>
    </r>
    <r>
      <rPr>
        <sz val="9"/>
        <color indexed="8"/>
        <rFont val="宋体"/>
        <charset val="134"/>
      </rPr>
      <t>转移支付</t>
    </r>
  </si>
  <si>
    <t>2080905</t>
  </si>
  <si>
    <t>军队转业干部安置</t>
  </si>
  <si>
    <t>42020622204T000000103</t>
  </si>
  <si>
    <t>2082802</t>
  </si>
  <si>
    <t>42020622204T000000108</t>
  </si>
  <si>
    <t>退役军人服务中心办公经费</t>
  </si>
  <si>
    <t>42020623204T000000110</t>
  </si>
  <si>
    <t>2082804</t>
  </si>
  <si>
    <t>拥军优属</t>
  </si>
  <si>
    <t>420206222040310000104</t>
  </si>
  <si>
    <t>黄财社发〔2022〕223号</t>
  </si>
  <si>
    <t>42020623204T000000105</t>
  </si>
  <si>
    <t>拥军优属专项经费</t>
  </si>
  <si>
    <t>2082899</t>
  </si>
  <si>
    <t>其他退役军人事务管理支出</t>
  </si>
  <si>
    <t>42020622204T000000113</t>
  </si>
  <si>
    <t>县级以下英雄烈士纪念设施整修工程</t>
  </si>
  <si>
    <t>黄财社发〔2022〕80号</t>
  </si>
  <si>
    <t>2101399</t>
  </si>
  <si>
    <t>其他医疗救助支出</t>
  </si>
  <si>
    <t>42020623204T000000109</t>
  </si>
  <si>
    <t>优抚对象医疗补助-转移支付</t>
  </si>
  <si>
    <t>2101401</t>
  </si>
  <si>
    <t>优抚对象医疗补助</t>
  </si>
  <si>
    <t>42020622204T000001046</t>
  </si>
  <si>
    <t>优抚医疗补助资金</t>
  </si>
  <si>
    <t>黄财社发〔2022〕204号</t>
  </si>
  <si>
    <t>优抚对象补助-转移支付</t>
  </si>
  <si>
    <r>
      <rPr>
        <sz val="9"/>
        <color indexed="8"/>
        <rFont val="宋体"/>
        <charset val="134"/>
      </rPr>
      <t>优抚对象医疗补助</t>
    </r>
    <r>
      <rPr>
        <sz val="9"/>
        <color indexed="8"/>
        <rFont val="Calibri"/>
        <charset val="134"/>
      </rPr>
      <t>-</t>
    </r>
    <r>
      <rPr>
        <sz val="9"/>
        <color indexed="8"/>
        <rFont val="宋体"/>
        <charset val="134"/>
      </rPr>
      <t>转移支付</t>
    </r>
  </si>
  <si>
    <r>
      <rPr>
        <b/>
        <sz val="9"/>
        <color indexed="8"/>
        <rFont val="宋体"/>
        <charset val="134"/>
      </rPr>
      <t>　　黄石经济技术开发区</t>
    </r>
    <r>
      <rPr>
        <b/>
        <sz val="9"/>
        <color indexed="8"/>
        <rFont val="Calibri"/>
        <charset val="134"/>
      </rPr>
      <t>·</t>
    </r>
    <r>
      <rPr>
        <b/>
        <sz val="9"/>
        <color indexed="8"/>
        <rFont val="宋体"/>
        <charset val="134"/>
      </rPr>
      <t>铁山区卫生健康局本级</t>
    </r>
  </si>
  <si>
    <r>
      <rPr>
        <sz val="9"/>
        <color indexed="8"/>
        <rFont val="宋体"/>
        <charset val="134"/>
      </rPr>
      <t>　　　黄石经济技术开发区</t>
    </r>
    <r>
      <rPr>
        <sz val="9"/>
        <color indexed="8"/>
        <rFont val="Calibri"/>
        <charset val="134"/>
      </rPr>
      <t>·</t>
    </r>
    <r>
      <rPr>
        <sz val="9"/>
        <color indexed="8"/>
        <rFont val="宋体"/>
        <charset val="134"/>
      </rPr>
      <t>铁山区卫生健康局本级</t>
    </r>
  </si>
  <si>
    <t>42020622205T000000135</t>
  </si>
  <si>
    <t>人才奖励经费</t>
  </si>
  <si>
    <t>2100102</t>
  </si>
  <si>
    <t>42020622205T000000114</t>
  </si>
  <si>
    <t>原铁山区离退休干部公费医疗</t>
  </si>
  <si>
    <t>42020622205T000000119</t>
  </si>
  <si>
    <t>红十字会经费</t>
  </si>
  <si>
    <t>42020622205T000000124</t>
  </si>
  <si>
    <t>42020623205T000000105</t>
  </si>
  <si>
    <t>卫生健康专项工作经费</t>
  </si>
  <si>
    <t>42020623205T000000110</t>
  </si>
  <si>
    <t>疾控中心经费</t>
  </si>
  <si>
    <t>42020623205T000000111</t>
  </si>
  <si>
    <t>2100199</t>
  </si>
  <si>
    <t>其他卫生健康管理事务支出</t>
  </si>
  <si>
    <t>42020622205T000000102</t>
  </si>
  <si>
    <t>42020623205T000000107</t>
  </si>
  <si>
    <t>血防经费-转移支付</t>
  </si>
  <si>
    <t>2100399</t>
  </si>
  <si>
    <t>其他基层医疗卫生机构支出</t>
  </si>
  <si>
    <t>42020622205T000000116</t>
  </si>
  <si>
    <t>42020622205T000000122</t>
  </si>
  <si>
    <t>乡村卫生服务一体化</t>
  </si>
  <si>
    <t>42020622205T000000132</t>
  </si>
  <si>
    <t>村卫生室运行费</t>
  </si>
  <si>
    <t>2100408</t>
  </si>
  <si>
    <t>基本公共卫生服务</t>
  </si>
  <si>
    <t>42020622205T000000105</t>
  </si>
  <si>
    <t>黄财社发〔2022〕263号</t>
  </si>
  <si>
    <t>42020623205T000000106</t>
  </si>
  <si>
    <r>
      <rPr>
        <sz val="9"/>
        <color indexed="8"/>
        <rFont val="宋体"/>
        <charset val="134"/>
      </rPr>
      <t>基本公共卫生服务</t>
    </r>
    <r>
      <rPr>
        <sz val="9"/>
        <color indexed="8"/>
        <rFont val="Calibri"/>
        <charset val="134"/>
      </rPr>
      <t>-</t>
    </r>
    <r>
      <rPr>
        <sz val="9"/>
        <color indexed="8"/>
        <rFont val="宋体"/>
        <charset val="134"/>
      </rPr>
      <t>转移支付</t>
    </r>
  </si>
  <si>
    <t>2100409</t>
  </si>
  <si>
    <t>重大公共卫生服务</t>
  </si>
  <si>
    <t>42020622205T000000106</t>
  </si>
  <si>
    <t>重大公共卫生专项</t>
  </si>
  <si>
    <t>42020622205T000001049</t>
  </si>
  <si>
    <t>2021年度市级血防资金</t>
  </si>
  <si>
    <t>黄财社发〔2022〕98号</t>
  </si>
  <si>
    <t>2100410</t>
  </si>
  <si>
    <t>突发公共卫生事件应急处理</t>
  </si>
  <si>
    <t>42020622205T000000134</t>
  </si>
  <si>
    <t>疫情防控经费</t>
  </si>
  <si>
    <r>
      <rPr>
        <sz val="9"/>
        <color indexed="8"/>
        <rFont val="宋体"/>
        <charset val="134"/>
      </rPr>
      <t>血防经费</t>
    </r>
    <r>
      <rPr>
        <sz val="9"/>
        <color indexed="8"/>
        <rFont val="Calibri"/>
        <charset val="134"/>
      </rPr>
      <t>-</t>
    </r>
    <r>
      <rPr>
        <sz val="9"/>
        <color indexed="8"/>
        <rFont val="宋体"/>
        <charset val="134"/>
      </rPr>
      <t>转移支付</t>
    </r>
  </si>
  <si>
    <t>2100717</t>
  </si>
  <si>
    <t>计划生育服务</t>
  </si>
  <si>
    <t>42020623205T000000108</t>
  </si>
  <si>
    <t>42020623205T000000109</t>
  </si>
  <si>
    <t>计划生育补助-转移支付</t>
  </si>
  <si>
    <t>2100799</t>
  </si>
  <si>
    <t>其他计划生育事务支出</t>
  </si>
  <si>
    <t>42020622205T000000117</t>
  </si>
  <si>
    <t>计划生育服务经费(开发区)</t>
  </si>
  <si>
    <t>黄财社发〔2022〕293号</t>
  </si>
  <si>
    <r>
      <rPr>
        <sz val="9"/>
        <color indexed="8"/>
        <rFont val="宋体"/>
        <charset val="134"/>
      </rPr>
      <t>计划生育补助</t>
    </r>
    <r>
      <rPr>
        <sz val="9"/>
        <color indexed="8"/>
        <rFont val="Calibri"/>
        <charset val="134"/>
      </rPr>
      <t>-</t>
    </r>
    <r>
      <rPr>
        <sz val="9"/>
        <color indexed="8"/>
        <rFont val="宋体"/>
        <charset val="134"/>
      </rPr>
      <t>转移支付</t>
    </r>
  </si>
  <si>
    <t>创卫复审</t>
  </si>
  <si>
    <t>42020622205T000000111</t>
  </si>
  <si>
    <t>基药补助</t>
  </si>
  <si>
    <t>42020622205T000000129</t>
  </si>
  <si>
    <t>汪仁卫生院基药补助</t>
  </si>
  <si>
    <t>黄财社发〔2022〕265号</t>
  </si>
  <si>
    <t>42020623205T000000102</t>
  </si>
  <si>
    <t>42020622205T000000138</t>
  </si>
  <si>
    <t>42020622205T000000100</t>
  </si>
  <si>
    <t>42020623205T000000103</t>
  </si>
  <si>
    <t>42020622205T000000140</t>
  </si>
  <si>
    <t>42020622205T000000131</t>
  </si>
  <si>
    <t>大王卫生院基药补助</t>
  </si>
  <si>
    <t>42020623205T000000104</t>
  </si>
  <si>
    <t>42020622205T000000103</t>
  </si>
  <si>
    <t>42020623205T000000101</t>
  </si>
  <si>
    <t>42020623205T000000114</t>
  </si>
  <si>
    <r>
      <rPr>
        <b/>
        <sz val="9"/>
        <color indexed="8"/>
        <rFont val="宋体"/>
        <charset val="134"/>
      </rPr>
      <t>　　黄石经济技术开发区</t>
    </r>
    <r>
      <rPr>
        <b/>
        <sz val="9"/>
        <color indexed="8"/>
        <rFont val="Calibri"/>
        <charset val="134"/>
      </rPr>
      <t>·</t>
    </r>
    <r>
      <rPr>
        <b/>
        <sz val="9"/>
        <color indexed="8"/>
        <rFont val="宋体"/>
        <charset val="134"/>
      </rPr>
      <t>铁山区医疗保障局本级</t>
    </r>
  </si>
  <si>
    <r>
      <rPr>
        <sz val="9"/>
        <color indexed="8"/>
        <rFont val="宋体"/>
        <charset val="134"/>
      </rPr>
      <t>　　　黄石经济技术开发区</t>
    </r>
    <r>
      <rPr>
        <sz val="9"/>
        <color indexed="8"/>
        <rFont val="Calibri"/>
        <charset val="134"/>
      </rPr>
      <t>·</t>
    </r>
    <r>
      <rPr>
        <sz val="9"/>
        <color indexed="8"/>
        <rFont val="宋体"/>
        <charset val="134"/>
      </rPr>
      <t>铁山区医疗保障局本级</t>
    </r>
  </si>
  <si>
    <t>2101202</t>
  </si>
  <si>
    <t>财政对城乡居民基本医疗保险基金的补助</t>
  </si>
  <si>
    <t>42020622206T000000109</t>
  </si>
  <si>
    <r>
      <rPr>
        <sz val="9"/>
        <color indexed="8"/>
        <rFont val="宋体"/>
        <charset val="134"/>
      </rPr>
      <t>金山、汪仁拆迁户</t>
    </r>
    <r>
      <rPr>
        <sz val="9"/>
        <color indexed="8"/>
        <rFont val="Calibri"/>
        <charset val="134"/>
      </rPr>
      <t>2023</t>
    </r>
    <r>
      <rPr>
        <sz val="9"/>
        <color indexed="8"/>
        <rFont val="宋体"/>
        <charset val="134"/>
      </rPr>
      <t>年城乡居民基本医疗保险个人缴费百分之</t>
    </r>
    <r>
      <rPr>
        <sz val="9"/>
        <color indexed="8"/>
        <rFont val="Calibri"/>
        <charset val="134"/>
      </rPr>
      <t>50</t>
    </r>
    <r>
      <rPr>
        <sz val="9"/>
        <color indexed="8"/>
        <rFont val="宋体"/>
        <charset val="134"/>
      </rPr>
      <t>部分</t>
    </r>
  </si>
  <si>
    <t>42020623206T000000101</t>
  </si>
  <si>
    <t>420206222060220000100</t>
  </si>
  <si>
    <t>黄财社发〔2022〕219号</t>
  </si>
  <si>
    <t>420206222060310000101</t>
  </si>
  <si>
    <t>医疗救助</t>
  </si>
  <si>
    <t>黄财社发〔2022〕48号</t>
  </si>
  <si>
    <t>42020623206T000000102</t>
  </si>
  <si>
    <t>42020623206T000000103</t>
  </si>
  <si>
    <r>
      <rPr>
        <sz val="9"/>
        <color indexed="8"/>
        <rFont val="宋体"/>
        <charset val="134"/>
      </rPr>
      <t>医疗救助</t>
    </r>
    <r>
      <rPr>
        <sz val="9"/>
        <color indexed="8"/>
        <rFont val="Calibri"/>
        <charset val="134"/>
      </rPr>
      <t>-</t>
    </r>
    <r>
      <rPr>
        <sz val="9"/>
        <color indexed="8"/>
        <rFont val="宋体"/>
        <charset val="134"/>
      </rPr>
      <t>转移支付</t>
    </r>
  </si>
  <si>
    <t>2101502</t>
  </si>
  <si>
    <t>42020623206T000000104</t>
  </si>
  <si>
    <t>医保专项工作经费</t>
  </si>
  <si>
    <t>42020623206T000000106</t>
  </si>
  <si>
    <t>2101506</t>
  </si>
  <si>
    <t>医疗保障经办事务</t>
  </si>
  <si>
    <t>42020623206T000000105</t>
  </si>
  <si>
    <t>城乡居民医疗保险委托工作经费</t>
  </si>
  <si>
    <t>2101599</t>
  </si>
  <si>
    <t>其他医疗保障管理事务支出</t>
  </si>
  <si>
    <t>420206222060310000102</t>
  </si>
  <si>
    <r>
      <rPr>
        <b/>
        <sz val="9"/>
        <color indexed="8"/>
        <rFont val="宋体"/>
        <charset val="134"/>
      </rPr>
      <t>　　黄石经济技术开发区</t>
    </r>
    <r>
      <rPr>
        <b/>
        <sz val="9"/>
        <color indexed="8"/>
        <rFont val="Calibri"/>
        <charset val="134"/>
      </rPr>
      <t>·</t>
    </r>
    <r>
      <rPr>
        <b/>
        <sz val="9"/>
        <color indexed="8"/>
        <rFont val="宋体"/>
        <charset val="134"/>
      </rPr>
      <t>铁山区教育局本级</t>
    </r>
  </si>
  <si>
    <r>
      <rPr>
        <sz val="9"/>
        <color indexed="8"/>
        <rFont val="宋体"/>
        <charset val="134"/>
      </rPr>
      <t>　　　黄石经济技术开发区</t>
    </r>
    <r>
      <rPr>
        <sz val="9"/>
        <color indexed="8"/>
        <rFont val="Calibri"/>
        <charset val="134"/>
      </rPr>
      <t>·</t>
    </r>
    <r>
      <rPr>
        <sz val="9"/>
        <color indexed="8"/>
        <rFont val="宋体"/>
        <charset val="134"/>
      </rPr>
      <t>铁山区教育局本级</t>
    </r>
  </si>
  <si>
    <t>2050102</t>
  </si>
  <si>
    <t>42020622301T000000113</t>
  </si>
  <si>
    <t>初中教学质量提升专项</t>
  </si>
  <si>
    <t>42020622301T000000117</t>
  </si>
  <si>
    <t>学校财务管理专项</t>
  </si>
  <si>
    <t>开财203</t>
  </si>
  <si>
    <t>42020622301T000000118</t>
  </si>
  <si>
    <t>学校建设工程管理专项</t>
  </si>
  <si>
    <t>42020622301T000000127</t>
  </si>
  <si>
    <t>42020623301T000000148</t>
  </si>
  <si>
    <t>42020623301T000000281</t>
  </si>
  <si>
    <t>2050201</t>
  </si>
  <si>
    <t>学前教育</t>
  </si>
  <si>
    <t>42020622301T000000121</t>
  </si>
  <si>
    <t>42020622301T000000126</t>
  </si>
  <si>
    <t>黄财教发〔2022〕312号</t>
  </si>
  <si>
    <t>42020622301T000000269</t>
  </si>
  <si>
    <t>学前教育幼儿资助</t>
  </si>
  <si>
    <t>42020623301T000000276</t>
  </si>
  <si>
    <t>42020622301T000000123</t>
  </si>
  <si>
    <t>42020622301T000000124</t>
  </si>
  <si>
    <r>
      <rPr>
        <sz val="9"/>
        <color indexed="8"/>
        <rFont val="宋体"/>
        <charset val="134"/>
      </rPr>
      <t>学校安保</t>
    </r>
    <r>
      <rPr>
        <sz val="9"/>
        <color indexed="8"/>
        <rFont val="Calibri"/>
        <charset val="134"/>
      </rPr>
      <t>“</t>
    </r>
    <r>
      <rPr>
        <sz val="9"/>
        <color indexed="8"/>
        <rFont val="宋体"/>
        <charset val="134"/>
      </rPr>
      <t>七防</t>
    </r>
    <r>
      <rPr>
        <sz val="9"/>
        <color indexed="8"/>
        <rFont val="Calibri"/>
        <charset val="134"/>
      </rPr>
      <t>”</t>
    </r>
    <r>
      <rPr>
        <sz val="9"/>
        <color indexed="8"/>
        <rFont val="宋体"/>
        <charset val="134"/>
      </rPr>
      <t>经费</t>
    </r>
  </si>
  <si>
    <t>黄财建发〔2022〕166号</t>
  </si>
  <si>
    <t>42020622301T000000245</t>
  </si>
  <si>
    <t>2022年“三区”人才计划教师专项工作补助经费</t>
  </si>
  <si>
    <t>42020623301T000000164</t>
  </si>
  <si>
    <r>
      <rPr>
        <sz val="9"/>
        <color indexed="8"/>
        <rFont val="宋体"/>
        <charset val="134"/>
      </rPr>
      <t>外国语学校收购</t>
    </r>
    <r>
      <rPr>
        <sz val="9"/>
        <color indexed="8"/>
        <rFont val="Calibri"/>
        <charset val="134"/>
      </rPr>
      <t>-</t>
    </r>
    <r>
      <rPr>
        <sz val="9"/>
        <color indexed="8"/>
        <rFont val="宋体"/>
        <charset val="134"/>
      </rPr>
      <t>高层次人才经费</t>
    </r>
  </si>
  <si>
    <t>42020623301T000000165</t>
  </si>
  <si>
    <t>学校卫生室建设</t>
  </si>
  <si>
    <t>42020623301T000000166</t>
  </si>
  <si>
    <t>42020623301T000000167</t>
  </si>
  <si>
    <r>
      <rPr>
        <sz val="9"/>
        <color indexed="8"/>
        <rFont val="宋体"/>
        <charset val="134"/>
      </rPr>
      <t>银龄讲学计划</t>
    </r>
    <r>
      <rPr>
        <sz val="9"/>
        <color indexed="8"/>
        <rFont val="Calibri"/>
        <charset val="134"/>
      </rPr>
      <t>-</t>
    </r>
    <r>
      <rPr>
        <sz val="9"/>
        <color indexed="8"/>
        <rFont val="宋体"/>
        <charset val="134"/>
      </rPr>
      <t>转移支付</t>
    </r>
  </si>
  <si>
    <t>42020623301T000000277</t>
  </si>
  <si>
    <t>42020623301T000000280</t>
  </si>
  <si>
    <t>贫困寄宿生生活补助</t>
  </si>
  <si>
    <t>42020623301T000000282</t>
  </si>
  <si>
    <t>免费教科书</t>
  </si>
  <si>
    <t>黄财债发〔2021〕265号</t>
  </si>
  <si>
    <t>黄财债发〔2022〕150号</t>
  </si>
  <si>
    <t>高校选址推介</t>
  </si>
  <si>
    <t>42020623301T000000172</t>
  </si>
  <si>
    <t>42020623301T000000174</t>
  </si>
  <si>
    <t>校园保洁</t>
  </si>
  <si>
    <t>42020623301T000000176</t>
  </si>
  <si>
    <t>42020623301T000000177</t>
  </si>
  <si>
    <r>
      <rPr>
        <sz val="9"/>
        <color indexed="8"/>
        <rFont val="宋体"/>
        <charset val="134"/>
      </rPr>
      <t>寄宿生公用经费</t>
    </r>
    <r>
      <rPr>
        <sz val="9"/>
        <color indexed="8"/>
        <rFont val="Calibri"/>
        <charset val="134"/>
      </rPr>
      <t>-</t>
    </r>
    <r>
      <rPr>
        <sz val="9"/>
        <color indexed="8"/>
        <rFont val="宋体"/>
        <charset val="134"/>
      </rPr>
      <t>转移支付</t>
    </r>
  </si>
  <si>
    <t>42020623301T000000178</t>
  </si>
  <si>
    <r>
      <rPr>
        <sz val="9"/>
        <color indexed="8"/>
        <rFont val="宋体"/>
        <charset val="134"/>
      </rPr>
      <t>新机制公用经费</t>
    </r>
    <r>
      <rPr>
        <sz val="9"/>
        <color indexed="8"/>
        <rFont val="Calibri"/>
        <charset val="134"/>
      </rPr>
      <t>-</t>
    </r>
    <r>
      <rPr>
        <sz val="9"/>
        <color indexed="8"/>
        <rFont val="宋体"/>
        <charset val="134"/>
      </rPr>
      <t>转移支付</t>
    </r>
  </si>
  <si>
    <t>42020623301T000000180</t>
  </si>
  <si>
    <t>42020622301T000000163</t>
  </si>
  <si>
    <t>黄财教发〔2022〕248号</t>
  </si>
  <si>
    <t>42020622301T000000168</t>
  </si>
  <si>
    <t>42020622301T000000169</t>
  </si>
  <si>
    <t>42020623301T000000212</t>
  </si>
  <si>
    <t>42020623301T000000222</t>
  </si>
  <si>
    <t>42020623301T000000224</t>
  </si>
  <si>
    <t>42020623301T000000278</t>
  </si>
  <si>
    <t>42020623301T000000182</t>
  </si>
  <si>
    <t>42020623301T000000188</t>
  </si>
  <si>
    <t>42020623301T000000252</t>
  </si>
  <si>
    <t>42020623301T000000254</t>
  </si>
  <si>
    <r>
      <rPr>
        <sz val="9"/>
        <color indexed="8"/>
        <rFont val="宋体"/>
        <charset val="134"/>
      </rPr>
      <t>寄宿生公用经费</t>
    </r>
    <r>
      <rPr>
        <sz val="9"/>
        <color indexed="8"/>
        <rFont val="Calibri"/>
        <charset val="134"/>
      </rPr>
      <t>--</t>
    </r>
    <r>
      <rPr>
        <sz val="9"/>
        <color indexed="8"/>
        <rFont val="宋体"/>
        <charset val="134"/>
      </rPr>
      <t>转移支付</t>
    </r>
  </si>
  <si>
    <t>42020623301T000000266</t>
  </si>
  <si>
    <t>42020623301T000000183</t>
  </si>
  <si>
    <t>42020623301T000000248</t>
  </si>
  <si>
    <t>42020623301T000000249</t>
  </si>
  <si>
    <t>42020623301T000000250</t>
  </si>
  <si>
    <t>42020623301T000000251</t>
  </si>
  <si>
    <t>42020622301T000000248</t>
  </si>
  <si>
    <t>义务教育薄弱环节改善与能力提升</t>
  </si>
  <si>
    <t>黄财教发〔2022〕72号</t>
  </si>
  <si>
    <t>42020623301T000000115</t>
  </si>
  <si>
    <t>42020623301T000000253</t>
  </si>
  <si>
    <t>代课教师</t>
  </si>
  <si>
    <t>42020623301T000000273</t>
  </si>
  <si>
    <t>42020623301T000000274</t>
  </si>
  <si>
    <t>42020623301T000000100</t>
  </si>
  <si>
    <t>42020623301T000000158</t>
  </si>
  <si>
    <t>42020623301T000000160</t>
  </si>
  <si>
    <t>42020623301T000000161</t>
  </si>
  <si>
    <t>42020623301T000000138</t>
  </si>
  <si>
    <t>42020623301T000000139</t>
  </si>
  <si>
    <t>42020623301T000000140</t>
  </si>
  <si>
    <t>42020623301T000000154</t>
  </si>
  <si>
    <t>42020623301T000000192</t>
  </si>
  <si>
    <t>42020623301T000000209</t>
  </si>
  <si>
    <t>42020622301T000000101</t>
  </si>
  <si>
    <t>中心学校工作经费</t>
  </si>
  <si>
    <t>42020623301T000000203</t>
  </si>
  <si>
    <t>退养民师及代课教师</t>
  </si>
  <si>
    <t>42020623301T000000227</t>
  </si>
  <si>
    <t>42020623301T000000264</t>
  </si>
  <si>
    <t>42020623301T000000275</t>
  </si>
  <si>
    <t>42020622301T000000172</t>
  </si>
  <si>
    <t>42020622301T000000175</t>
  </si>
  <si>
    <t>42020622301T000000170</t>
  </si>
  <si>
    <t>42020622301T000000173</t>
  </si>
  <si>
    <t>42020622301T000000174</t>
  </si>
  <si>
    <t>42020622301T000000176</t>
  </si>
  <si>
    <t>42020622301T000000201</t>
  </si>
  <si>
    <t>学校建设及维修改造1</t>
  </si>
  <si>
    <t>黄财教发〔2021〕359号</t>
  </si>
  <si>
    <t>42020623301T000000242</t>
  </si>
  <si>
    <t>42020623301T000000272</t>
  </si>
  <si>
    <t>42020623301T000000124</t>
  </si>
  <si>
    <t>42020623301T000000125</t>
  </si>
  <si>
    <t>42020623301T000000122</t>
  </si>
  <si>
    <t>42020623301T000000123</t>
  </si>
  <si>
    <t>42020623301T000000126</t>
  </si>
  <si>
    <t>42020623301T000000157</t>
  </si>
  <si>
    <t>42020623301T000000105</t>
  </si>
  <si>
    <t>42020623301T000000110</t>
  </si>
  <si>
    <t>42020623301T000000106</t>
  </si>
  <si>
    <t>42020623301T000000107</t>
  </si>
  <si>
    <t>42020623301T000000109</t>
  </si>
  <si>
    <t>42020623301T000000114</t>
  </si>
  <si>
    <t>42020623301T000000159</t>
  </si>
  <si>
    <t>42020623301T000000236</t>
  </si>
  <si>
    <t>42020623301T000000237</t>
  </si>
  <si>
    <t>42020623301T000000244</t>
  </si>
  <si>
    <r>
      <rPr>
        <b/>
        <sz val="9"/>
        <color indexed="8"/>
        <rFont val="宋体"/>
        <charset val="134"/>
      </rPr>
      <t>　　黄石经济技术开发区</t>
    </r>
    <r>
      <rPr>
        <b/>
        <sz val="9"/>
        <color indexed="8"/>
        <rFont val="Calibri"/>
        <charset val="134"/>
      </rPr>
      <t>·</t>
    </r>
    <r>
      <rPr>
        <b/>
        <sz val="9"/>
        <color indexed="8"/>
        <rFont val="宋体"/>
        <charset val="134"/>
      </rPr>
      <t>铁山区文化和旅游局本级</t>
    </r>
  </si>
  <si>
    <r>
      <rPr>
        <sz val="9"/>
        <color indexed="8"/>
        <rFont val="宋体"/>
        <charset val="134"/>
      </rPr>
      <t>　　　黄石经济技术开发区</t>
    </r>
    <r>
      <rPr>
        <sz val="9"/>
        <color indexed="8"/>
        <rFont val="Calibri"/>
        <charset val="134"/>
      </rPr>
      <t>·</t>
    </r>
    <r>
      <rPr>
        <sz val="9"/>
        <color indexed="8"/>
        <rFont val="宋体"/>
        <charset val="134"/>
      </rPr>
      <t>铁山区文化和旅游局本级</t>
    </r>
  </si>
  <si>
    <t>2070102</t>
  </si>
  <si>
    <t>42020623302T000000102</t>
  </si>
  <si>
    <t>2070109</t>
  </si>
  <si>
    <t>群众文化</t>
  </si>
  <si>
    <t>42020622302T000000100</t>
  </si>
  <si>
    <t>42020622302T000000101</t>
  </si>
  <si>
    <t>42020623302T000000101</t>
  </si>
  <si>
    <r>
      <rPr>
        <sz val="9"/>
        <color indexed="8"/>
        <rFont val="宋体"/>
        <charset val="134"/>
      </rPr>
      <t>图书馆、文化馆免费开放</t>
    </r>
    <r>
      <rPr>
        <sz val="9"/>
        <color indexed="8"/>
        <rFont val="Calibri"/>
        <charset val="134"/>
      </rPr>
      <t>-</t>
    </r>
    <r>
      <rPr>
        <sz val="9"/>
        <color indexed="8"/>
        <rFont val="宋体"/>
        <charset val="134"/>
      </rPr>
      <t>转移支付</t>
    </r>
  </si>
  <si>
    <t>2070199</t>
  </si>
  <si>
    <t>其他文化和旅游支出</t>
  </si>
  <si>
    <t>42020622302T000000104</t>
  </si>
  <si>
    <t>42020622302T000000118</t>
  </si>
  <si>
    <t>省级旅游发展专项</t>
  </si>
  <si>
    <t>黄财教发〔2022〕269号</t>
  </si>
  <si>
    <t>2070808</t>
  </si>
  <si>
    <t>广播电视事务</t>
  </si>
  <si>
    <t>42020622302T000000106</t>
  </si>
  <si>
    <t>文化事业费</t>
  </si>
  <si>
    <t>黄财教发〔2022〕289号</t>
  </si>
  <si>
    <t>42020623302T000000100</t>
  </si>
  <si>
    <r>
      <rPr>
        <b/>
        <sz val="9"/>
        <color indexed="8"/>
        <rFont val="宋体"/>
        <charset val="134"/>
      </rPr>
      <t>　　黄石经济技术开发区</t>
    </r>
    <r>
      <rPr>
        <b/>
        <sz val="9"/>
        <color indexed="8"/>
        <rFont val="Calibri"/>
        <charset val="134"/>
      </rPr>
      <t>·</t>
    </r>
    <r>
      <rPr>
        <b/>
        <sz val="9"/>
        <color indexed="8"/>
        <rFont val="宋体"/>
        <charset val="134"/>
      </rPr>
      <t>铁山区科学技术局本级</t>
    </r>
  </si>
  <si>
    <r>
      <rPr>
        <sz val="9"/>
        <color indexed="8"/>
        <rFont val="宋体"/>
        <charset val="134"/>
      </rPr>
      <t>　　　黄石经济技术开发区</t>
    </r>
    <r>
      <rPr>
        <sz val="9"/>
        <color indexed="8"/>
        <rFont val="Calibri"/>
        <charset val="134"/>
      </rPr>
      <t>·</t>
    </r>
    <r>
      <rPr>
        <sz val="9"/>
        <color indexed="8"/>
        <rFont val="宋体"/>
        <charset val="134"/>
      </rPr>
      <t>铁山区科学技术局本级</t>
    </r>
  </si>
  <si>
    <t>2060102</t>
  </si>
  <si>
    <t>42020623303T000000101</t>
  </si>
  <si>
    <t>2060799</t>
  </si>
  <si>
    <t>其他科学技术普及支出</t>
  </si>
  <si>
    <t>42020622303T000000102</t>
  </si>
  <si>
    <t>科普经费</t>
  </si>
  <si>
    <t>42020622303T000000101</t>
  </si>
  <si>
    <t>科技经费</t>
  </si>
  <si>
    <t>42020622304T000000100</t>
  </si>
  <si>
    <t>孵化器平台费用</t>
  </si>
  <si>
    <t>42020622304T000000101</t>
  </si>
  <si>
    <t>42020622304T000000102</t>
  </si>
  <si>
    <t>委托业务费</t>
  </si>
  <si>
    <r>
      <rPr>
        <b/>
        <sz val="9"/>
        <color indexed="8"/>
        <rFont val="宋体"/>
        <charset val="134"/>
      </rPr>
      <t>　　黄石经济技术开发区</t>
    </r>
    <r>
      <rPr>
        <b/>
        <sz val="9"/>
        <color indexed="8"/>
        <rFont val="Calibri"/>
        <charset val="134"/>
      </rPr>
      <t>·</t>
    </r>
    <r>
      <rPr>
        <b/>
        <sz val="9"/>
        <color indexed="8"/>
        <rFont val="宋体"/>
        <charset val="134"/>
      </rPr>
      <t>铁山区发展和改革局本级</t>
    </r>
  </si>
  <si>
    <r>
      <rPr>
        <sz val="9"/>
        <color indexed="8"/>
        <rFont val="宋体"/>
        <charset val="134"/>
      </rPr>
      <t>　　　黄石经济技术开发区</t>
    </r>
    <r>
      <rPr>
        <sz val="9"/>
        <color indexed="8"/>
        <rFont val="Calibri"/>
        <charset val="134"/>
      </rPr>
      <t>·</t>
    </r>
    <r>
      <rPr>
        <sz val="9"/>
        <color indexed="8"/>
        <rFont val="宋体"/>
        <charset val="134"/>
      </rPr>
      <t>铁山区发展和改革局本级</t>
    </r>
  </si>
  <si>
    <t>2010402</t>
  </si>
  <si>
    <t>42020623401T000000103</t>
  </si>
  <si>
    <t>发改工作经费</t>
  </si>
  <si>
    <t>42020623401T000000104</t>
  </si>
  <si>
    <t>项目评审、节能审查及监管经费</t>
  </si>
  <si>
    <t>42020623401T000000105</t>
  </si>
  <si>
    <t>政策及规划编制专项经费</t>
  </si>
  <si>
    <t>42020623401T000000108</t>
  </si>
  <si>
    <t>2110102</t>
  </si>
  <si>
    <t>42020623401T000000107</t>
  </si>
  <si>
    <t>2111201</t>
  </si>
  <si>
    <t>可再生能源</t>
  </si>
  <si>
    <t>42020622401T000000108</t>
  </si>
  <si>
    <t>铁山区普通光伏项目补贴</t>
  </si>
  <si>
    <t>黄财建发〔2021〕294号</t>
  </si>
  <si>
    <t>42020623401T000000102</t>
  </si>
  <si>
    <t>一年付一次，年底付</t>
  </si>
  <si>
    <t>42020623401T000000106</t>
  </si>
  <si>
    <r>
      <rPr>
        <sz val="9"/>
        <color indexed="8"/>
        <rFont val="宋体"/>
        <charset val="134"/>
      </rPr>
      <t>光伏补贴</t>
    </r>
    <r>
      <rPr>
        <sz val="9"/>
        <color indexed="8"/>
        <rFont val="Calibri"/>
        <charset val="134"/>
      </rPr>
      <t>-</t>
    </r>
    <r>
      <rPr>
        <sz val="9"/>
        <color indexed="8"/>
        <rFont val="宋体"/>
        <charset val="134"/>
      </rPr>
      <t>转移支付</t>
    </r>
  </si>
  <si>
    <t>42020622401T000000114</t>
  </si>
  <si>
    <t>光伏扶贫补贴</t>
  </si>
  <si>
    <t>42020623401T000022813</t>
  </si>
  <si>
    <t>2022年三、四季度重点项目拉练考核奖励奖金</t>
  </si>
  <si>
    <t>42020623401T000000110</t>
  </si>
  <si>
    <t>重点项目拉练考核奖励奖金</t>
  </si>
  <si>
    <t>光伏发电补贴</t>
  </si>
  <si>
    <t>黄财建发【2022】261号</t>
  </si>
  <si>
    <t>充电基础设施招标代理费</t>
  </si>
  <si>
    <r>
      <rPr>
        <b/>
        <sz val="9"/>
        <color indexed="8"/>
        <rFont val="宋体"/>
        <charset val="134"/>
      </rPr>
      <t>　　黄石经济技术开发区</t>
    </r>
    <r>
      <rPr>
        <b/>
        <sz val="9"/>
        <color indexed="8"/>
        <rFont val="Calibri"/>
        <charset val="134"/>
      </rPr>
      <t>·</t>
    </r>
    <r>
      <rPr>
        <b/>
        <sz val="9"/>
        <color indexed="8"/>
        <rFont val="宋体"/>
        <charset val="134"/>
      </rPr>
      <t>铁山区招商和投资促进局本级</t>
    </r>
  </si>
  <si>
    <r>
      <rPr>
        <sz val="9"/>
        <color indexed="8"/>
        <rFont val="宋体"/>
        <charset val="134"/>
      </rPr>
      <t>　　　黄石经济技术开发区</t>
    </r>
    <r>
      <rPr>
        <sz val="9"/>
        <color indexed="8"/>
        <rFont val="Calibri"/>
        <charset val="134"/>
      </rPr>
      <t>·</t>
    </r>
    <r>
      <rPr>
        <sz val="9"/>
        <color indexed="8"/>
        <rFont val="宋体"/>
        <charset val="134"/>
      </rPr>
      <t>铁山区招商和投资促进局本级</t>
    </r>
  </si>
  <si>
    <t>42020622402T000000100</t>
  </si>
  <si>
    <t>42020622402T000000102</t>
  </si>
  <si>
    <t>招商专班经费</t>
  </si>
  <si>
    <t>黄财行发〔2022〕94号</t>
  </si>
  <si>
    <t>42020623402T000000100</t>
  </si>
  <si>
    <t>2160699</t>
  </si>
  <si>
    <t>其他涉外发展服务支出</t>
  </si>
  <si>
    <t>42020622402T000000105</t>
  </si>
  <si>
    <t>2021年中央外经贸发展专项</t>
  </si>
  <si>
    <t>黄财产发〔2022〕6号</t>
  </si>
  <si>
    <r>
      <rPr>
        <b/>
        <sz val="9"/>
        <color indexed="8"/>
        <rFont val="宋体"/>
        <charset val="134"/>
      </rPr>
      <t>　　黄石经济技术开发区</t>
    </r>
    <r>
      <rPr>
        <b/>
        <sz val="9"/>
        <color indexed="8"/>
        <rFont val="Calibri"/>
        <charset val="134"/>
      </rPr>
      <t>·</t>
    </r>
    <r>
      <rPr>
        <b/>
        <sz val="9"/>
        <color indexed="8"/>
        <rFont val="宋体"/>
        <charset val="134"/>
      </rPr>
      <t>铁山区经济信息化和商务局</t>
    </r>
  </si>
  <si>
    <r>
      <rPr>
        <sz val="9"/>
        <color indexed="8"/>
        <rFont val="宋体"/>
        <charset val="134"/>
      </rPr>
      <t>　　　黄石经济技术开发区</t>
    </r>
    <r>
      <rPr>
        <sz val="9"/>
        <color indexed="8"/>
        <rFont val="Calibri"/>
        <charset val="134"/>
      </rPr>
      <t>·</t>
    </r>
    <r>
      <rPr>
        <sz val="9"/>
        <color indexed="8"/>
        <rFont val="宋体"/>
        <charset val="134"/>
      </rPr>
      <t>铁山区经济信息化和商务局</t>
    </r>
  </si>
  <si>
    <t>2011302</t>
  </si>
  <si>
    <t>42020622403T000000101</t>
  </si>
  <si>
    <t>42020622403T000000105</t>
  </si>
  <si>
    <t>42020622403T000000106</t>
  </si>
  <si>
    <t>42020622403T000000107</t>
  </si>
  <si>
    <t>42020622403T000000108</t>
  </si>
  <si>
    <t>42020623403T000000100</t>
  </si>
  <si>
    <t>经信商务专项工作经费</t>
  </si>
  <si>
    <t>42020623403T000000105</t>
  </si>
  <si>
    <t>42020622403T000000100</t>
  </si>
  <si>
    <t>工业高质量发展专项工作经费</t>
  </si>
  <si>
    <t>42020622403T000000109</t>
  </si>
  <si>
    <t>42020623403T000000103</t>
  </si>
  <si>
    <t>2150805</t>
  </si>
  <si>
    <t>中小企业发展专项</t>
  </si>
  <si>
    <t>42020623403T000000104</t>
  </si>
  <si>
    <t>中小企业成长工程以奖代补资金</t>
  </si>
  <si>
    <t>黄财产发〔2022〕267号</t>
  </si>
  <si>
    <t>高质量百强园区创建服务费</t>
  </si>
  <si>
    <t>武钢宏信租金</t>
  </si>
  <si>
    <r>
      <rPr>
        <b/>
        <sz val="9"/>
        <color indexed="8"/>
        <rFont val="宋体"/>
        <charset val="134"/>
      </rPr>
      <t>　　黄石经济技术开发区</t>
    </r>
    <r>
      <rPr>
        <b/>
        <sz val="9"/>
        <color indexed="8"/>
        <rFont val="Calibri"/>
        <charset val="134"/>
      </rPr>
      <t>·</t>
    </r>
    <r>
      <rPr>
        <b/>
        <sz val="9"/>
        <color indexed="8"/>
        <rFont val="宋体"/>
        <charset val="134"/>
      </rPr>
      <t>铁山区建设局本级</t>
    </r>
  </si>
  <si>
    <r>
      <rPr>
        <sz val="9"/>
        <color indexed="8"/>
        <rFont val="宋体"/>
        <charset val="134"/>
      </rPr>
      <t>　　　黄石经济技术开发区</t>
    </r>
    <r>
      <rPr>
        <sz val="9"/>
        <color indexed="8"/>
        <rFont val="Calibri"/>
        <charset val="134"/>
      </rPr>
      <t>·</t>
    </r>
    <r>
      <rPr>
        <sz val="9"/>
        <color indexed="8"/>
        <rFont val="宋体"/>
        <charset val="134"/>
      </rPr>
      <t>铁山区建设局本级</t>
    </r>
  </si>
  <si>
    <t>42020622404T000000150</t>
  </si>
  <si>
    <t>圣明路绿化提升工程</t>
  </si>
  <si>
    <t>42020623404T000000167</t>
  </si>
  <si>
    <t>2120102</t>
  </si>
  <si>
    <t>42020623404T000000100</t>
  </si>
  <si>
    <t>消防从业人员经费</t>
  </si>
  <si>
    <t>42020623404T000000101</t>
  </si>
  <si>
    <t>建筑工地特种设备检查</t>
  </si>
  <si>
    <t>42020623404T000000102</t>
  </si>
  <si>
    <t>档案管理费</t>
  </si>
  <si>
    <t>42020623404T000000103</t>
  </si>
  <si>
    <t>重点项目工程推进协调工作经费</t>
  </si>
  <si>
    <t>42020623404T000000107</t>
  </si>
  <si>
    <t>人防遗留问题</t>
  </si>
  <si>
    <t>42020623404T000000109</t>
  </si>
  <si>
    <t>人防防空方案和重要经济目标防护救援方案编制项目</t>
  </si>
  <si>
    <t>42020623404T000000162</t>
  </si>
  <si>
    <t>工程监督协调及质量监管</t>
  </si>
  <si>
    <t>42020623404T000000168</t>
  </si>
  <si>
    <t>其他城乡社区公共设施支出</t>
  </si>
  <si>
    <t>2120399</t>
  </si>
  <si>
    <t>42020622404T000000127</t>
  </si>
  <si>
    <t>大棋路雨水管道工程</t>
  </si>
  <si>
    <t>黄财建发〔2022〕215号</t>
  </si>
  <si>
    <t>42020622404T000000213</t>
  </si>
  <si>
    <t>大王太子片区雨水管网改造工程</t>
  </si>
  <si>
    <t>42020623404T000000104</t>
  </si>
  <si>
    <t>42020623404T000000108</t>
  </si>
  <si>
    <t>木栏大道削方及边坡防护</t>
  </si>
  <si>
    <t>42020623404T000000163</t>
  </si>
  <si>
    <r>
      <rPr>
        <sz val="9"/>
        <color indexed="8"/>
        <rFont val="Calibri"/>
        <charset val="134"/>
      </rPr>
      <t>S315</t>
    </r>
    <r>
      <rPr>
        <sz val="9"/>
        <color indexed="8"/>
        <rFont val="宋体"/>
        <charset val="134"/>
      </rPr>
      <t>省道可行性缺口补助</t>
    </r>
  </si>
  <si>
    <t>2130504</t>
  </si>
  <si>
    <t>农村基础设施建设</t>
  </si>
  <si>
    <t>42020623404T000000105</t>
  </si>
  <si>
    <t>2140104</t>
  </si>
  <si>
    <t>公路建设</t>
  </si>
  <si>
    <t>42020622404T000000193</t>
  </si>
  <si>
    <t>S315开发区段改建工程建设资金</t>
  </si>
  <si>
    <t>黄财建发〔2022〕12号</t>
  </si>
  <si>
    <t>2149901</t>
  </si>
  <si>
    <t>公共交通运营补助</t>
  </si>
  <si>
    <t>42020623404T000000106</t>
  </si>
  <si>
    <t>村村通客车补助</t>
  </si>
  <si>
    <t>2129999</t>
  </si>
  <si>
    <t>其他城乡社区支出</t>
  </si>
  <si>
    <t>42020622404T000000211</t>
  </si>
  <si>
    <t>农房图集编制推广</t>
  </si>
  <si>
    <t>黄财建发〔2022〕184号</t>
  </si>
  <si>
    <t>2149999</t>
  </si>
  <si>
    <t>其他交通运输支出</t>
  </si>
  <si>
    <t>42020622404T000000191</t>
  </si>
  <si>
    <t>2021年省级交通运输一般性转移支付资金</t>
  </si>
  <si>
    <t>黄财建发〔2022〕8号</t>
  </si>
  <si>
    <r>
      <rPr>
        <b/>
        <sz val="9"/>
        <color indexed="8"/>
        <rFont val="宋体"/>
        <charset val="134"/>
      </rPr>
      <t>　　黄石经济技术开发区</t>
    </r>
    <r>
      <rPr>
        <b/>
        <sz val="9"/>
        <color indexed="8"/>
        <rFont val="Calibri"/>
        <charset val="134"/>
      </rPr>
      <t>·</t>
    </r>
    <r>
      <rPr>
        <b/>
        <sz val="9"/>
        <color indexed="8"/>
        <rFont val="宋体"/>
        <charset val="134"/>
      </rPr>
      <t>铁山区住房保障局本级</t>
    </r>
  </si>
  <si>
    <r>
      <rPr>
        <sz val="9"/>
        <color indexed="8"/>
        <rFont val="宋体"/>
        <charset val="134"/>
      </rPr>
      <t>　　黄石经济技术开发区</t>
    </r>
    <r>
      <rPr>
        <sz val="9"/>
        <color indexed="8"/>
        <rFont val="Calibri"/>
        <charset val="134"/>
      </rPr>
      <t>·</t>
    </r>
    <r>
      <rPr>
        <sz val="9"/>
        <color indexed="8"/>
        <rFont val="宋体"/>
        <charset val="134"/>
      </rPr>
      <t>铁山区住房保障局本级</t>
    </r>
  </si>
  <si>
    <t>42020623405T000000119</t>
  </si>
  <si>
    <t>42020623405T000000120</t>
  </si>
  <si>
    <t>42020623405T000000122</t>
  </si>
  <si>
    <t>维稳专项</t>
  </si>
  <si>
    <t>2210105</t>
  </si>
  <si>
    <t>农村危房改造</t>
  </si>
  <si>
    <t>42020622405T000000137</t>
  </si>
  <si>
    <t>2210199</t>
  </si>
  <si>
    <t>其他保障性安居工程支出</t>
  </si>
  <si>
    <t>42020623405T000000121</t>
  </si>
  <si>
    <t>2210399</t>
  </si>
  <si>
    <t>其他城乡社区住宅支出</t>
  </si>
  <si>
    <t>42020623405T000010799</t>
  </si>
  <si>
    <t>购房补贴和契税补贴</t>
  </si>
  <si>
    <r>
      <rPr>
        <b/>
        <sz val="9"/>
        <color indexed="8"/>
        <rFont val="宋体"/>
        <charset val="134"/>
      </rPr>
      <t>　　黄石经济技术开发区</t>
    </r>
    <r>
      <rPr>
        <b/>
        <sz val="9"/>
        <color indexed="8"/>
        <rFont val="Calibri"/>
        <charset val="134"/>
      </rPr>
      <t>·</t>
    </r>
    <r>
      <rPr>
        <b/>
        <sz val="9"/>
        <color indexed="8"/>
        <rFont val="宋体"/>
        <charset val="134"/>
      </rPr>
      <t>铁山区城市管理执法局本级</t>
    </r>
  </si>
  <si>
    <r>
      <rPr>
        <sz val="9"/>
        <color indexed="8"/>
        <rFont val="宋体"/>
        <charset val="134"/>
      </rPr>
      <t>　　　黄石经济技术开发区</t>
    </r>
    <r>
      <rPr>
        <sz val="9"/>
        <color indexed="8"/>
        <rFont val="Calibri"/>
        <charset val="134"/>
      </rPr>
      <t>·</t>
    </r>
    <r>
      <rPr>
        <sz val="9"/>
        <color indexed="8"/>
        <rFont val="宋体"/>
        <charset val="134"/>
      </rPr>
      <t>铁山区城市管理执法局本级</t>
    </r>
  </si>
  <si>
    <t>2110302</t>
  </si>
  <si>
    <t>水体</t>
  </si>
  <si>
    <t>42020622406T000000120</t>
  </si>
  <si>
    <t>开发区·铁山区污水提质增效管网修复项目</t>
  </si>
  <si>
    <t>黄财建发〔2022〕213号</t>
  </si>
  <si>
    <t>42020623406T000000102</t>
  </si>
  <si>
    <t>雨污管网应急抢修</t>
  </si>
  <si>
    <t>42020623406T000000116</t>
  </si>
  <si>
    <t>2120104</t>
  </si>
  <si>
    <t>城管执法</t>
  </si>
  <si>
    <t>42020623406T000000104</t>
  </si>
  <si>
    <t>42020623406T000000105</t>
  </si>
  <si>
    <t>数字城管平台指挥中心运行维护费</t>
  </si>
  <si>
    <t>42020623406T000000107</t>
  </si>
  <si>
    <t>42020623406T000019641</t>
  </si>
  <si>
    <t>42020623406T000000110</t>
  </si>
  <si>
    <t>42020623406T000000111</t>
  </si>
  <si>
    <r>
      <rPr>
        <sz val="9"/>
        <color indexed="8"/>
        <rFont val="Calibri"/>
        <charset val="134"/>
      </rPr>
      <t>2022</t>
    </r>
    <r>
      <rPr>
        <sz val="9"/>
        <color indexed="8"/>
        <rFont val="宋体"/>
        <charset val="134"/>
      </rPr>
      <t>年春节绿化亮化</t>
    </r>
  </si>
  <si>
    <t>城乡社区环境卫生</t>
  </si>
  <si>
    <t>42020623406T000000109</t>
  </si>
  <si>
    <t>2120501</t>
  </si>
  <si>
    <t>42020623406T000000112</t>
  </si>
  <si>
    <t>城维费</t>
  </si>
  <si>
    <t>42020623406T000019694</t>
  </si>
  <si>
    <r>
      <rPr>
        <b/>
        <sz val="9"/>
        <color indexed="8"/>
        <rFont val="宋体"/>
        <charset val="134"/>
      </rPr>
      <t>　　黄石经济技术开发区</t>
    </r>
    <r>
      <rPr>
        <b/>
        <sz val="9"/>
        <color indexed="8"/>
        <rFont val="Calibri"/>
        <charset val="134"/>
      </rPr>
      <t>·</t>
    </r>
    <r>
      <rPr>
        <b/>
        <sz val="9"/>
        <color indexed="8"/>
        <rFont val="宋体"/>
        <charset val="134"/>
      </rPr>
      <t>铁山区应急管理局本级</t>
    </r>
  </si>
  <si>
    <r>
      <rPr>
        <sz val="9"/>
        <color indexed="8"/>
        <rFont val="宋体"/>
        <charset val="134"/>
      </rPr>
      <t>　　　黄石经济技术开发区</t>
    </r>
    <r>
      <rPr>
        <sz val="9"/>
        <color indexed="8"/>
        <rFont val="Calibri"/>
        <charset val="134"/>
      </rPr>
      <t>·</t>
    </r>
    <r>
      <rPr>
        <sz val="9"/>
        <color indexed="8"/>
        <rFont val="宋体"/>
        <charset val="134"/>
      </rPr>
      <t>铁山区应急管理局本级</t>
    </r>
  </si>
  <si>
    <t>2240102</t>
  </si>
  <si>
    <t>42020623407T000000108</t>
  </si>
  <si>
    <t>42020623407T000000110</t>
  </si>
  <si>
    <t>42020623407T000000105</t>
  </si>
  <si>
    <t>自然灾害综合风险普查工作经费</t>
  </si>
  <si>
    <t>2240106</t>
  </si>
  <si>
    <t>安全监管</t>
  </si>
  <si>
    <t>42020623407T000000100</t>
  </si>
  <si>
    <t>安全生产专项</t>
  </si>
  <si>
    <t>42020623407T000000101</t>
  </si>
  <si>
    <t>事故调查和隐患排查服务费</t>
  </si>
  <si>
    <t>42020623407T000000102</t>
  </si>
  <si>
    <t>两化体系建设和网络化管理</t>
  </si>
  <si>
    <t>2240108</t>
  </si>
  <si>
    <t>应急救援</t>
  </si>
  <si>
    <t>42020623407T000000106</t>
  </si>
  <si>
    <t>应急救援演习</t>
  </si>
  <si>
    <t>2240109</t>
  </si>
  <si>
    <t>应急管理</t>
  </si>
  <si>
    <t>42020623407T000000104</t>
  </si>
  <si>
    <t>2240199</t>
  </si>
  <si>
    <t>其他应急管理支出</t>
  </si>
  <si>
    <t>42020623407T000000103</t>
  </si>
  <si>
    <t>2240703</t>
  </si>
  <si>
    <t>自然灾害救灾补助</t>
  </si>
  <si>
    <t>42020623407T000000109</t>
  </si>
  <si>
    <t>2022年中央和省级灾害救灾冬春救助资金</t>
  </si>
  <si>
    <r>
      <rPr>
        <b/>
        <sz val="9"/>
        <color indexed="8"/>
        <rFont val="宋体"/>
        <charset val="134"/>
      </rPr>
      <t>　　黄石市生态环境局开发区</t>
    </r>
    <r>
      <rPr>
        <b/>
        <sz val="9"/>
        <color indexed="8"/>
        <rFont val="Calibri"/>
        <charset val="134"/>
      </rPr>
      <t>·</t>
    </r>
    <r>
      <rPr>
        <b/>
        <sz val="9"/>
        <color indexed="8"/>
        <rFont val="宋体"/>
        <charset val="134"/>
      </rPr>
      <t>铁山区分局本级</t>
    </r>
  </si>
  <si>
    <r>
      <rPr>
        <sz val="9"/>
        <color indexed="8"/>
        <rFont val="宋体"/>
        <charset val="134"/>
      </rPr>
      <t>　　　黄石市生态环境局开发区</t>
    </r>
    <r>
      <rPr>
        <sz val="9"/>
        <color indexed="8"/>
        <rFont val="Calibri"/>
        <charset val="134"/>
      </rPr>
      <t>·</t>
    </r>
    <r>
      <rPr>
        <sz val="9"/>
        <color indexed="8"/>
        <rFont val="宋体"/>
        <charset val="134"/>
      </rPr>
      <t>铁山区分局本级</t>
    </r>
  </si>
  <si>
    <t>42020622408T000000102</t>
  </si>
  <si>
    <t>42020623408T000000101</t>
  </si>
  <si>
    <t>生态环境专项工作经费</t>
  </si>
  <si>
    <t>42020623408T000000103</t>
  </si>
  <si>
    <t>2110299</t>
  </si>
  <si>
    <t>其他环境监测与监察支出</t>
  </si>
  <si>
    <t>42020622408T000000101</t>
  </si>
  <si>
    <t>42020622408T000000107</t>
  </si>
  <si>
    <r>
      <rPr>
        <sz val="9"/>
        <color indexed="8"/>
        <rFont val="宋体"/>
        <charset val="134"/>
      </rPr>
      <t>重点污染源智能监管项目</t>
    </r>
    <r>
      <rPr>
        <sz val="9"/>
        <color indexed="8"/>
        <rFont val="Calibri"/>
        <charset val="134"/>
      </rPr>
      <t>(</t>
    </r>
    <r>
      <rPr>
        <sz val="9"/>
        <color indexed="8"/>
        <rFont val="宋体"/>
        <charset val="134"/>
      </rPr>
      <t>一期</t>
    </r>
    <r>
      <rPr>
        <sz val="9"/>
        <color indexed="8"/>
        <rFont val="Calibri"/>
        <charset val="134"/>
      </rPr>
      <t>)</t>
    </r>
    <r>
      <rPr>
        <sz val="9"/>
        <color indexed="8"/>
        <rFont val="宋体"/>
        <charset val="134"/>
      </rPr>
      <t>运维</t>
    </r>
  </si>
  <si>
    <t>42020622408T000000109</t>
  </si>
  <si>
    <t>黄石市铁山区环境空气质量监测点变更调整项目</t>
  </si>
  <si>
    <t>42020622408T000000111</t>
  </si>
  <si>
    <t>磊山湖入湖口水环境综合治理项目</t>
  </si>
  <si>
    <t>黄财建发〔2022〕232号</t>
  </si>
  <si>
    <t>42020622408T000000112</t>
  </si>
  <si>
    <t>山南污水处理厂尾水人工湿地净化工程</t>
  </si>
  <si>
    <t>磊山湖EPC项目</t>
  </si>
  <si>
    <t>大王砷超标危废转运</t>
  </si>
  <si>
    <t>工业园区空气自监测运维费</t>
  </si>
  <si>
    <r>
      <rPr>
        <b/>
        <sz val="9"/>
        <color indexed="8"/>
        <rFont val="宋体"/>
        <charset val="134"/>
      </rPr>
      <t>　　黄石市自然资源和规划局开发区</t>
    </r>
    <r>
      <rPr>
        <b/>
        <sz val="9"/>
        <color indexed="8"/>
        <rFont val="Calibri"/>
        <charset val="134"/>
      </rPr>
      <t>·</t>
    </r>
    <r>
      <rPr>
        <b/>
        <sz val="9"/>
        <color indexed="8"/>
        <rFont val="宋体"/>
        <charset val="134"/>
      </rPr>
      <t>铁山区分局本级</t>
    </r>
  </si>
  <si>
    <r>
      <rPr>
        <sz val="9"/>
        <color indexed="8"/>
        <rFont val="宋体"/>
        <charset val="134"/>
      </rPr>
      <t>　　　黄石市自然资源和规划局开发区</t>
    </r>
    <r>
      <rPr>
        <sz val="9"/>
        <color indexed="8"/>
        <rFont val="Calibri"/>
        <charset val="134"/>
      </rPr>
      <t>·</t>
    </r>
    <r>
      <rPr>
        <sz val="9"/>
        <color indexed="8"/>
        <rFont val="宋体"/>
        <charset val="134"/>
      </rPr>
      <t>铁山区分局本级</t>
    </r>
  </si>
  <si>
    <t>2110499</t>
  </si>
  <si>
    <t>其他自然生态保护支出</t>
  </si>
  <si>
    <t>42020623409T000000117</t>
  </si>
  <si>
    <t>金山街道十二家采石厂绿化提升工程</t>
  </si>
  <si>
    <t>黄财建发﹝2022﹞114号</t>
  </si>
  <si>
    <t>2200102</t>
  </si>
  <si>
    <t>42020623409T000000110</t>
  </si>
  <si>
    <t>42020623409T000000113</t>
  </si>
  <si>
    <t>42020623409T000000114</t>
  </si>
  <si>
    <t>2200106</t>
  </si>
  <si>
    <t>自然资源利用与保护</t>
  </si>
  <si>
    <t>42020622409T000000102</t>
  </si>
  <si>
    <t>42020622409T000000112</t>
  </si>
  <si>
    <t>42020623409T000000116</t>
  </si>
  <si>
    <t>2240601</t>
  </si>
  <si>
    <t>地质灾害防治</t>
  </si>
  <si>
    <t>42020622409T000000113</t>
  </si>
  <si>
    <t>2022年地质灾害防治经费第一批</t>
  </si>
  <si>
    <t>黄财建发〔2022〕246号</t>
  </si>
  <si>
    <t>42020622409T000022000</t>
  </si>
  <si>
    <t>2021年省级地质灾害防治专项（第一批）</t>
  </si>
  <si>
    <t>黄财建发〔2021〕300号</t>
  </si>
  <si>
    <t>42020622409T000022001</t>
  </si>
  <si>
    <t>2021年省级地质灾害防治专项（第二批）</t>
  </si>
  <si>
    <t>黄财建发〔2021〕324号</t>
  </si>
  <si>
    <t>42020623409T000000111</t>
  </si>
  <si>
    <t>2020年地质灾害综合防治体系建设补助资金</t>
  </si>
  <si>
    <t>黄财建发〔2020〕328号、330号</t>
  </si>
  <si>
    <t>42020622410T000000100</t>
  </si>
  <si>
    <t>42020623410T000000114</t>
  </si>
  <si>
    <t>2010199</t>
  </si>
  <si>
    <t>其他人大事务支出</t>
  </si>
  <si>
    <t>42020623601T000000100</t>
  </si>
  <si>
    <t>人大工作经费</t>
  </si>
  <si>
    <t>42020622601T000000115</t>
  </si>
  <si>
    <t>42020623601T000000101</t>
  </si>
  <si>
    <t>电子政务外网建设</t>
  </si>
  <si>
    <t>42020623601T000000102</t>
  </si>
  <si>
    <t>42020623601T000000103</t>
  </si>
  <si>
    <t>42020623601T000000104</t>
  </si>
  <si>
    <t>路灯电费</t>
  </si>
  <si>
    <t>42020623601T000000105</t>
  </si>
  <si>
    <t>干部培训</t>
  </si>
  <si>
    <t>42020623601T000000106</t>
  </si>
  <si>
    <t>聘用人员</t>
  </si>
  <si>
    <t>42020623601T000000107</t>
  </si>
  <si>
    <t>42020623601T000000108</t>
  </si>
  <si>
    <t>乡改人员经费</t>
  </si>
  <si>
    <t>42020623601T000000122</t>
  </si>
  <si>
    <t>42020623601T000000141</t>
  </si>
  <si>
    <t>42020623601T000000130</t>
  </si>
  <si>
    <t>42020623601T000000109</t>
  </si>
  <si>
    <t>文化以钱养事支出</t>
  </si>
  <si>
    <t>2070899</t>
  </si>
  <si>
    <t>其他广播电视支出</t>
  </si>
  <si>
    <t>42020622601T000000134</t>
  </si>
  <si>
    <t>楚天视讯分流人员经费</t>
  </si>
  <si>
    <t>黄财教发[2022]147号</t>
  </si>
  <si>
    <t>42020623601T000000123</t>
  </si>
  <si>
    <t>42020623601T000000124</t>
  </si>
  <si>
    <r>
      <rPr>
        <sz val="9"/>
        <color indexed="8"/>
        <rFont val="宋体"/>
        <charset val="134"/>
      </rPr>
      <t>楚天视讯分流人员经费</t>
    </r>
    <r>
      <rPr>
        <sz val="9"/>
        <color indexed="8"/>
        <rFont val="Calibri"/>
        <charset val="134"/>
      </rPr>
      <t>-</t>
    </r>
    <r>
      <rPr>
        <sz val="9"/>
        <color indexed="8"/>
        <rFont val="宋体"/>
        <charset val="134"/>
      </rPr>
      <t>转移支付</t>
    </r>
  </si>
  <si>
    <t>42020622601T000000118</t>
  </si>
  <si>
    <t>社区专项服务</t>
  </si>
  <si>
    <t>黄财社发〔2022〕188号</t>
  </si>
  <si>
    <t>42020623601T000000110</t>
  </si>
  <si>
    <t>42020623601T000000111</t>
  </si>
  <si>
    <t>社区经费</t>
  </si>
  <si>
    <t>42020623601T000000132</t>
  </si>
  <si>
    <t>42020623601T000000112</t>
  </si>
  <si>
    <t>42020623601T000000113</t>
  </si>
  <si>
    <t>42020623601T000000114</t>
  </si>
  <si>
    <t>涉农以钱养事支出</t>
  </si>
  <si>
    <t>42020623601T000000125</t>
  </si>
  <si>
    <t>四棵水库养事</t>
  </si>
  <si>
    <t>42020623601T000000134</t>
  </si>
  <si>
    <t>农村公益性事业</t>
  </si>
  <si>
    <t>黄财农村发〔2022〕218号</t>
  </si>
  <si>
    <t>2130701</t>
  </si>
  <si>
    <t>对村级公益事业建设的补助</t>
  </si>
  <si>
    <t>42020622601T000000122</t>
  </si>
  <si>
    <t>村级运转保障</t>
  </si>
  <si>
    <t>42020623601T000000115</t>
  </si>
  <si>
    <r>
      <rPr>
        <sz val="9"/>
        <color indexed="8"/>
        <rFont val="宋体"/>
        <charset val="134"/>
      </rPr>
      <t>村级运转保障</t>
    </r>
    <r>
      <rPr>
        <sz val="9"/>
        <color indexed="8"/>
        <rFont val="Calibri"/>
        <charset val="134"/>
      </rPr>
      <t>-</t>
    </r>
    <r>
      <rPr>
        <sz val="9"/>
        <color indexed="8"/>
        <rFont val="宋体"/>
        <charset val="134"/>
      </rPr>
      <t>城乡社区环境卫生</t>
    </r>
    <r>
      <rPr>
        <sz val="9"/>
        <color indexed="8"/>
        <rFont val="Calibri"/>
        <charset val="134"/>
      </rPr>
      <t>(</t>
    </r>
    <r>
      <rPr>
        <sz val="9"/>
        <color indexed="8"/>
        <rFont val="宋体"/>
        <charset val="134"/>
      </rPr>
      <t>乡村保洁员</t>
    </r>
    <r>
      <rPr>
        <sz val="9"/>
        <color indexed="8"/>
        <rFont val="Calibri"/>
        <charset val="134"/>
      </rPr>
      <t>)</t>
    </r>
  </si>
  <si>
    <t>42020623601T000000116</t>
  </si>
  <si>
    <r>
      <rPr>
        <sz val="9"/>
        <color indexed="8"/>
        <rFont val="宋体"/>
        <charset val="134"/>
      </rPr>
      <t>村级运转保障</t>
    </r>
    <r>
      <rPr>
        <sz val="9"/>
        <color indexed="8"/>
        <rFont val="Calibri"/>
        <charset val="134"/>
      </rPr>
      <t>-</t>
    </r>
    <r>
      <rPr>
        <sz val="9"/>
        <color indexed="8"/>
        <rFont val="宋体"/>
        <charset val="134"/>
      </rPr>
      <t>存量补助</t>
    </r>
  </si>
  <si>
    <t>42020623601T000000117</t>
  </si>
  <si>
    <r>
      <rPr>
        <sz val="9"/>
        <color indexed="8"/>
        <rFont val="宋体"/>
        <charset val="134"/>
      </rPr>
      <t>村级运转保障</t>
    </r>
    <r>
      <rPr>
        <sz val="9"/>
        <color indexed="8"/>
        <rFont val="Calibri"/>
        <charset val="134"/>
      </rPr>
      <t>-</t>
    </r>
    <r>
      <rPr>
        <sz val="9"/>
        <color indexed="8"/>
        <rFont val="宋体"/>
        <charset val="134"/>
      </rPr>
      <t>增量补助</t>
    </r>
  </si>
  <si>
    <t>2130799</t>
  </si>
  <si>
    <t>其他农村综合改革支出</t>
  </si>
  <si>
    <t>42020623601T000000118</t>
  </si>
  <si>
    <r>
      <rPr>
        <sz val="9"/>
        <color indexed="8"/>
        <rFont val="宋体"/>
        <charset val="134"/>
      </rPr>
      <t>小三场税费改革补助</t>
    </r>
    <r>
      <rPr>
        <sz val="9"/>
        <color indexed="8"/>
        <rFont val="Calibri"/>
        <charset val="134"/>
      </rPr>
      <t>-</t>
    </r>
    <r>
      <rPr>
        <sz val="9"/>
        <color indexed="8"/>
        <rFont val="宋体"/>
        <charset val="134"/>
      </rPr>
      <t>转移支付</t>
    </r>
  </si>
  <si>
    <t>小三场税费改革补助-转移支付</t>
  </si>
  <si>
    <t>黄财农村发〔2022〕272号</t>
  </si>
  <si>
    <t>42020623601T000000119</t>
  </si>
  <si>
    <t>两化体系及基层安监专项</t>
  </si>
  <si>
    <t>42020623601T000000120</t>
  </si>
  <si>
    <t>以房管人经费</t>
  </si>
  <si>
    <t>42020623601T000000121</t>
  </si>
  <si>
    <t>预备役经费</t>
  </si>
  <si>
    <t>42020623601T000000129</t>
  </si>
  <si>
    <t>公厕运转</t>
  </si>
  <si>
    <t>42020622601T000000105</t>
  </si>
  <si>
    <t>财政资金监管能力建设</t>
  </si>
  <si>
    <t>2010699</t>
  </si>
  <si>
    <t>其他财政事务支出</t>
  </si>
  <si>
    <t>黄财农村发〔2022〕301号</t>
  </si>
  <si>
    <t>黄财农村发〔2022〕298号</t>
  </si>
  <si>
    <t>42020623601T000000126</t>
  </si>
  <si>
    <t>42020623601T000000127</t>
  </si>
  <si>
    <t>42020623601T000000128</t>
  </si>
  <si>
    <t>乡财经费</t>
  </si>
  <si>
    <t>42020623601T000000140</t>
  </si>
  <si>
    <t>市下其他补助</t>
  </si>
  <si>
    <t>黄财预发〔2023〕19号</t>
  </si>
  <si>
    <t>42020623602T000000104</t>
  </si>
  <si>
    <t>42020622602T000000126</t>
  </si>
  <si>
    <t>42020623602T000000106</t>
  </si>
  <si>
    <t>42020623602T000000107</t>
  </si>
  <si>
    <t>42020623602T000000109</t>
  </si>
  <si>
    <t>42020623602T000000110</t>
  </si>
  <si>
    <t>42020623602T000000111</t>
  </si>
  <si>
    <t>42020623602T000000112</t>
  </si>
  <si>
    <t>42020623602T000000129</t>
  </si>
  <si>
    <t>42020623602T000000131</t>
  </si>
  <si>
    <t>42020622602T000000117</t>
  </si>
  <si>
    <t>42020623602T000000103</t>
  </si>
  <si>
    <t>42020623602T000000119</t>
  </si>
  <si>
    <t>42020623602T000000135</t>
  </si>
  <si>
    <t>42020622602T000000111</t>
  </si>
  <si>
    <t>文化养事支出</t>
  </si>
  <si>
    <t>42020623602T000000115</t>
  </si>
  <si>
    <t>42020622602T000000128</t>
  </si>
  <si>
    <t>42020623602T000000116</t>
  </si>
  <si>
    <t>42020623602T000000130</t>
  </si>
  <si>
    <t>42020622602T000000114</t>
  </si>
  <si>
    <t>社区专项服务费</t>
  </si>
  <si>
    <t>42020623602T000000117</t>
  </si>
  <si>
    <t>42020623602T000000118</t>
  </si>
  <si>
    <t>社区人员经费</t>
  </si>
  <si>
    <t>42020623602T000000136</t>
  </si>
  <si>
    <t>42020623602T000000120</t>
  </si>
  <si>
    <t>42020623602T000000121</t>
  </si>
  <si>
    <t>42020622602T000000107</t>
  </si>
  <si>
    <t>涉农养事支出</t>
  </si>
  <si>
    <t>42020623602T000000122</t>
  </si>
  <si>
    <t>42020623602T000000137</t>
  </si>
  <si>
    <t>村级集体经济发展进步村</t>
  </si>
  <si>
    <t>42020623602T000000123</t>
  </si>
  <si>
    <t>42020623602T000000124</t>
  </si>
  <si>
    <t>42020623602T000000125</t>
  </si>
  <si>
    <t>42020623602T000000132</t>
  </si>
  <si>
    <t>42020623602T000000126</t>
  </si>
  <si>
    <t>42020623602T000000127</t>
  </si>
  <si>
    <t>42020623602T000000128</t>
  </si>
  <si>
    <t>抗旱补助</t>
  </si>
  <si>
    <t>黄财农发【2022】193号</t>
  </si>
  <si>
    <t>农业生产救灾</t>
  </si>
  <si>
    <t>黄财农发【2022】208号</t>
  </si>
  <si>
    <t>42020623603T000000103</t>
  </si>
  <si>
    <t>42020622603T000000117</t>
  </si>
  <si>
    <t>42020622603T000000116</t>
  </si>
  <si>
    <t>税改补助</t>
  </si>
  <si>
    <t>42020622603T000000135</t>
  </si>
  <si>
    <t>市下补助</t>
  </si>
  <si>
    <t>黄财预发〔2022〕14号</t>
  </si>
  <si>
    <t>42020623603T000000104</t>
  </si>
  <si>
    <t>42020623603T000000105</t>
  </si>
  <si>
    <t>42020623603T000000106</t>
  </si>
  <si>
    <t>42020623603T000000107</t>
  </si>
  <si>
    <t>42020623603T000000108</t>
  </si>
  <si>
    <t>42020623603T000000109</t>
  </si>
  <si>
    <t>42020623603T000000110</t>
  </si>
  <si>
    <t>42020623603T000000127</t>
  </si>
  <si>
    <t>42020622603T000000112</t>
  </si>
  <si>
    <t>42020622603T000000133</t>
  </si>
  <si>
    <t>文化乡改人员经费</t>
  </si>
  <si>
    <t>42020623603T000000111</t>
  </si>
  <si>
    <t>42020623603T000000113</t>
  </si>
  <si>
    <t>42020622603T000000121</t>
  </si>
  <si>
    <t>42020623603T000000112</t>
  </si>
  <si>
    <t>42020622603T000000109</t>
  </si>
  <si>
    <t>42020623603T000000124</t>
  </si>
  <si>
    <t>42020623603T000000134</t>
  </si>
  <si>
    <t>残疾人事业发展补助资金</t>
  </si>
  <si>
    <t>42020623603T000000128</t>
  </si>
  <si>
    <t>42020622603T000000122</t>
  </si>
  <si>
    <t>城建乡改人员经费</t>
  </si>
  <si>
    <t>42020622603T000000130</t>
  </si>
  <si>
    <t>协管员经费</t>
  </si>
  <si>
    <t>42020623603T000000116</t>
  </si>
  <si>
    <t>42020623603T000000117</t>
  </si>
  <si>
    <t>42020623603T000000118</t>
  </si>
  <si>
    <t>42020623603T000000119</t>
  </si>
  <si>
    <t>登山步道保洁与维护</t>
  </si>
  <si>
    <t>2130119</t>
  </si>
  <si>
    <t>防灾救灾</t>
  </si>
  <si>
    <t>42020622603T000000140</t>
  </si>
  <si>
    <t>黄财农发〔2022〕193号</t>
  </si>
  <si>
    <t>2130142</t>
  </si>
  <si>
    <t>农村道路建设</t>
  </si>
  <si>
    <t>42020622603T000000138</t>
  </si>
  <si>
    <t>42020622603T000000123</t>
  </si>
  <si>
    <t>涉农乡改人员经费</t>
  </si>
  <si>
    <t>42020622603T000000124</t>
  </si>
  <si>
    <t>42020623603T000000114</t>
  </si>
  <si>
    <t>42020623603T000000115</t>
  </si>
  <si>
    <t>42020623603T000000126</t>
  </si>
  <si>
    <t>42020623603T000000130</t>
  </si>
  <si>
    <t>42020622603T000000126</t>
  </si>
  <si>
    <t>42020623603T000000120</t>
  </si>
  <si>
    <t>42020623603T000000121</t>
  </si>
  <si>
    <t>42020623603T000000122</t>
  </si>
  <si>
    <t>42020623603T000000123</t>
  </si>
  <si>
    <t>2240204</t>
  </si>
  <si>
    <t>消防应急救援</t>
  </si>
  <si>
    <t>42020623603T000000131</t>
  </si>
  <si>
    <t>大王太子消防站工作经费</t>
  </si>
  <si>
    <t>42020623603T000000132</t>
  </si>
  <si>
    <t>大王太子专职消防员经费</t>
  </si>
  <si>
    <t>42020623603T000000125</t>
  </si>
  <si>
    <t>42020622603T000000104</t>
  </si>
  <si>
    <t>42020623603T000000100</t>
  </si>
  <si>
    <t>42020623603T000000101</t>
  </si>
  <si>
    <t>42020623603T000000102</t>
  </si>
  <si>
    <t>42020623603T000000133</t>
  </si>
  <si>
    <t>42020622604T000000118</t>
  </si>
  <si>
    <t>42020622604T000000124</t>
  </si>
  <si>
    <t>42020622604T000000101</t>
  </si>
  <si>
    <t>42020622604T000000119</t>
  </si>
  <si>
    <t>42020622604T000000120</t>
  </si>
  <si>
    <t>42020622604T000000121</t>
  </si>
  <si>
    <t>42020622604T000000122</t>
  </si>
  <si>
    <t>42020622604T000000127</t>
  </si>
  <si>
    <t>42020623604T000000107</t>
  </si>
  <si>
    <t>42020623604T000011287</t>
  </si>
  <si>
    <t>42020622604T000000131</t>
  </si>
  <si>
    <t>42020622604T000000100</t>
  </si>
  <si>
    <t>42020622604T000000110</t>
  </si>
  <si>
    <t>42020622604T000000133</t>
  </si>
  <si>
    <t>42020623604T000000100</t>
  </si>
  <si>
    <t>42020623604T000000108</t>
  </si>
  <si>
    <t>42020622604T000000136</t>
  </si>
  <si>
    <t>2110304</t>
  </si>
  <si>
    <t>固体废弃物与化学品</t>
  </si>
  <si>
    <t>42020622604T000000116</t>
  </si>
  <si>
    <t>废弃工业地污染风控工程项目场地租金</t>
  </si>
  <si>
    <t>42020622604T000000132</t>
  </si>
  <si>
    <t>42020622604T000000117</t>
  </si>
  <si>
    <t>42020622604T000000128</t>
  </si>
  <si>
    <t>42020622604T000000111</t>
  </si>
  <si>
    <t>42020622604T000000112</t>
  </si>
  <si>
    <t>42020622604T000000145</t>
  </si>
  <si>
    <t>42020622604T000000114</t>
  </si>
  <si>
    <r>
      <rPr>
        <sz val="9"/>
        <color indexed="8"/>
        <rFont val="宋体"/>
        <charset val="134"/>
      </rPr>
      <t>村级运转保障</t>
    </r>
    <r>
      <rPr>
        <sz val="9"/>
        <color indexed="8"/>
        <rFont val="Calibri"/>
        <charset val="134"/>
      </rPr>
      <t>--</t>
    </r>
    <r>
      <rPr>
        <sz val="9"/>
        <color indexed="8"/>
        <rFont val="宋体"/>
        <charset val="134"/>
      </rPr>
      <t>存量补助</t>
    </r>
  </si>
  <si>
    <t>42020622604T000000126</t>
  </si>
  <si>
    <t>42020623604T000000101</t>
  </si>
  <si>
    <t>42020622604T000000115</t>
  </si>
  <si>
    <t>42020623604T000000103</t>
  </si>
  <si>
    <t>42020623604T000000104</t>
  </si>
  <si>
    <t>42020622604T000000107</t>
  </si>
  <si>
    <t>42020622604T000000108</t>
  </si>
  <si>
    <t>42020623604T000000105</t>
  </si>
  <si>
    <t>42020623605T000000101</t>
  </si>
  <si>
    <t>42020622605T000000110</t>
  </si>
  <si>
    <t>42020623605T000000102</t>
  </si>
  <si>
    <t>42020623605T000000103</t>
  </si>
  <si>
    <t>42020623605T000000104</t>
  </si>
  <si>
    <t>42020623605T000000105</t>
  </si>
  <si>
    <t>42020623605T000000106</t>
  </si>
  <si>
    <t>42020623605T000000107</t>
  </si>
  <si>
    <t>42020623605T000000108</t>
  </si>
  <si>
    <t>42020623605T000000116</t>
  </si>
  <si>
    <t>42020622605T000000104</t>
  </si>
  <si>
    <t>42020623605T000000109</t>
  </si>
  <si>
    <t>42020623605T000000120</t>
  </si>
  <si>
    <t>42020623605T000000121</t>
  </si>
  <si>
    <t>42020623605T000000110</t>
  </si>
  <si>
    <t>42020623605T000000111</t>
  </si>
  <si>
    <t>42020623605T000000122</t>
  </si>
  <si>
    <t>42020623605T000000112</t>
  </si>
  <si>
    <t>42020623605T000000117</t>
  </si>
  <si>
    <t>42020623605T000000118</t>
  </si>
  <si>
    <r>
      <rPr>
        <sz val="9"/>
        <color indexed="8"/>
        <rFont val="宋体"/>
        <charset val="134"/>
      </rPr>
      <t>村级运转保障</t>
    </r>
    <r>
      <rPr>
        <sz val="9"/>
        <color indexed="8"/>
        <rFont val="Calibri"/>
        <charset val="134"/>
      </rPr>
      <t>-</t>
    </r>
    <r>
      <rPr>
        <sz val="9"/>
        <color indexed="8"/>
        <rFont val="宋体"/>
        <charset val="134"/>
      </rPr>
      <t>转移支付</t>
    </r>
  </si>
  <si>
    <t>42020623605T000000119</t>
  </si>
  <si>
    <t>42020623605T000000113</t>
  </si>
  <si>
    <t>42020623605T000000114</t>
  </si>
  <si>
    <t>移交遗留债务</t>
  </si>
  <si>
    <t>42020623605T000000115</t>
  </si>
  <si>
    <t>　　　武装警察部队黄石市消防支队开发区大队</t>
  </si>
  <si>
    <t>42020622698T000000103</t>
  </si>
  <si>
    <t>42020622698T000000104</t>
  </si>
  <si>
    <t>合同制消防员经费</t>
  </si>
  <si>
    <t>42020622698T000000105</t>
  </si>
  <si>
    <t>42020622698T000000106</t>
  </si>
  <si>
    <t>　　　黄石磁湖高新科技发展有限公司</t>
  </si>
  <si>
    <t>42020622698T000000101</t>
  </si>
  <si>
    <t>铁山西区污水厂运营</t>
  </si>
  <si>
    <t>42020622698T000000102</t>
  </si>
  <si>
    <t>父子山休闲绿道运营维护</t>
  </si>
  <si>
    <t>　　　博华（黄石）水务投资有限公司</t>
  </si>
  <si>
    <t>42020622698T000000107</t>
  </si>
  <si>
    <t>　　　农业科</t>
  </si>
  <si>
    <t>2130122</t>
  </si>
  <si>
    <t>农业生产发展</t>
  </si>
  <si>
    <t>42020622699T000000151</t>
  </si>
  <si>
    <t>省级农业转移支付资金</t>
  </si>
  <si>
    <t>黄财农发〔2022〕274号</t>
  </si>
  <si>
    <t>42020622699T000000104</t>
  </si>
  <si>
    <t>42020622699T000000133</t>
  </si>
  <si>
    <r>
      <rPr>
        <sz val="9"/>
        <color indexed="8"/>
        <rFont val="宋体"/>
        <charset val="134"/>
      </rPr>
      <t>农村公益事业</t>
    </r>
    <r>
      <rPr>
        <sz val="9"/>
        <color indexed="8"/>
        <rFont val="Calibri"/>
        <charset val="134"/>
      </rPr>
      <t>--</t>
    </r>
    <r>
      <rPr>
        <sz val="9"/>
        <color indexed="8"/>
        <rFont val="宋体"/>
        <charset val="134"/>
      </rPr>
      <t>转移支付</t>
    </r>
  </si>
  <si>
    <t>　　　社保科</t>
  </si>
  <si>
    <t>42020622699T000000117</t>
  </si>
  <si>
    <t>机关事业单位养老保险制度改革补助</t>
  </si>
  <si>
    <t>2080508</t>
  </si>
  <si>
    <t>对机关事业单位职业年金的补助</t>
  </si>
  <si>
    <t>扩面征缴奖补</t>
  </si>
  <si>
    <t>基本药物制度补助</t>
  </si>
  <si>
    <t>42020622699T000000131</t>
  </si>
  <si>
    <t>　　　经建科</t>
  </si>
  <si>
    <t>42020622699T000000150</t>
  </si>
  <si>
    <t>污染治理和节能减碳专项资金</t>
  </si>
  <si>
    <t>2119999</t>
  </si>
  <si>
    <t>其他节能环保支出</t>
  </si>
  <si>
    <t>42020622699T000000114</t>
  </si>
  <si>
    <t>中央基建投资专项资金</t>
  </si>
  <si>
    <t>生态环境保护以奖代补</t>
  </si>
  <si>
    <t>住建转移支付</t>
  </si>
  <si>
    <t>森林植被恢复</t>
  </si>
  <si>
    <t>林业生态文明建设</t>
  </si>
  <si>
    <t>基建投资和服务员发展引导资金</t>
  </si>
  <si>
    <t>防灾减灾体系建设</t>
  </si>
  <si>
    <t>基本农田保护</t>
  </si>
  <si>
    <t>黄财建发【2022】108号</t>
  </si>
  <si>
    <t>大冶湖流域生态保护补偿</t>
  </si>
  <si>
    <t>黄财建发【2022】247号</t>
  </si>
  <si>
    <t>海绵城市建设</t>
  </si>
  <si>
    <t>黄财建发【2022】303号</t>
  </si>
  <si>
    <t>全年精彩</t>
  </si>
  <si>
    <t>支持烟草行业发展</t>
  </si>
  <si>
    <t>黄财产发〔2022〕207号</t>
  </si>
  <si>
    <t>42020623699T000000106</t>
  </si>
  <si>
    <t>重点产业创新发展专项资金</t>
  </si>
  <si>
    <t>黄财产发〔2022〕238号</t>
  </si>
  <si>
    <t>2150299</t>
  </si>
  <si>
    <t>其他制造业支出</t>
  </si>
  <si>
    <t>　　　预算科</t>
  </si>
  <si>
    <t>2010710</t>
  </si>
  <si>
    <t>税收业务</t>
  </si>
  <si>
    <t>42020622699T000000102</t>
  </si>
  <si>
    <t>227</t>
  </si>
  <si>
    <t>42020622699T000000113</t>
  </si>
  <si>
    <t>2290201</t>
  </si>
  <si>
    <t>42020622699T000000101</t>
  </si>
  <si>
    <t>42020623699T000000102</t>
  </si>
  <si>
    <t>大冶湖核心区指挥部工作经费</t>
  </si>
  <si>
    <t>其他补助</t>
  </si>
  <si>
    <t>城市社区岗位改革后待遇补贴</t>
  </si>
  <si>
    <t>黄财行发【2023】35号</t>
  </si>
  <si>
    <t>黄财行发〔2023〕43号</t>
  </si>
  <si>
    <r>
      <rPr>
        <b/>
        <sz val="9"/>
        <color indexed="8"/>
        <rFont val="宋体"/>
        <charset val="134"/>
      </rPr>
      <t>　　</t>
    </r>
    <r>
      <rPr>
        <b/>
        <sz val="9"/>
        <color indexed="8"/>
        <rFont val="Calibri"/>
        <charset val="134"/>
      </rPr>
      <t>D07</t>
    </r>
  </si>
  <si>
    <r>
      <rPr>
        <sz val="9"/>
        <color indexed="8"/>
        <rFont val="宋体"/>
        <charset val="134"/>
      </rPr>
      <t>　　　</t>
    </r>
    <r>
      <rPr>
        <sz val="9"/>
        <color indexed="8"/>
        <rFont val="Calibri"/>
        <charset val="134"/>
      </rPr>
      <t>D07</t>
    </r>
  </si>
  <si>
    <t>420206230000030000100</t>
  </si>
  <si>
    <t>420206230000030000101</t>
  </si>
  <si>
    <t>420206230000030000102</t>
  </si>
  <si>
    <t>420206230000030000103</t>
  </si>
  <si>
    <t>420206230000030000104</t>
  </si>
  <si>
    <t>　　　债务科</t>
  </si>
  <si>
    <t>2310301</t>
  </si>
  <si>
    <t>地方政府一般债券还本支出</t>
  </si>
  <si>
    <t>42020622699T000000137</t>
  </si>
  <si>
    <t>政府债务还本</t>
  </si>
  <si>
    <t>2320301</t>
  </si>
  <si>
    <t>地方政府一般债券付息支出</t>
  </si>
  <si>
    <t>42020622699T000000103</t>
  </si>
  <si>
    <r>
      <rPr>
        <sz val="9"/>
        <color indexed="8"/>
        <rFont val="宋体"/>
        <charset val="134"/>
      </rPr>
      <t>政府债券利息支出</t>
    </r>
    <r>
      <rPr>
        <sz val="9"/>
        <color indexed="8"/>
        <rFont val="Calibri"/>
        <charset val="134"/>
      </rPr>
      <t>(</t>
    </r>
    <r>
      <rPr>
        <sz val="9"/>
        <color indexed="8"/>
        <rFont val="宋体"/>
        <charset val="134"/>
      </rPr>
      <t>一般</t>
    </r>
    <r>
      <rPr>
        <sz val="9"/>
        <color indexed="8"/>
        <rFont val="Calibri"/>
        <charset val="134"/>
      </rPr>
      <t>)</t>
    </r>
  </si>
  <si>
    <t>23303</t>
  </si>
  <si>
    <t>地方政府一般债务发行费用支出</t>
  </si>
  <si>
    <t>42020623699T000000101</t>
  </si>
  <si>
    <t>政府债券发行费用</t>
  </si>
  <si>
    <t>小型水库运行维护</t>
  </si>
  <si>
    <r>
      <rPr>
        <b/>
        <sz val="9"/>
        <color indexed="8"/>
        <rFont val="宋体"/>
        <charset val="134"/>
      </rPr>
      <t>　　</t>
    </r>
    <r>
      <rPr>
        <b/>
        <sz val="9"/>
        <color indexed="8"/>
        <rFont val="Calibri"/>
        <charset val="134"/>
      </rPr>
      <t>D10</t>
    </r>
  </si>
  <si>
    <r>
      <rPr>
        <sz val="9"/>
        <color indexed="8"/>
        <rFont val="宋体"/>
        <charset val="134"/>
      </rPr>
      <t>　　　</t>
    </r>
    <r>
      <rPr>
        <sz val="9"/>
        <color indexed="8"/>
        <rFont val="Calibri"/>
        <charset val="134"/>
      </rPr>
      <t>D10</t>
    </r>
  </si>
  <si>
    <t>　　　金融科</t>
  </si>
  <si>
    <t>420206230000030000105</t>
  </si>
  <si>
    <t>上市企业培育</t>
  </si>
  <si>
    <t>42020623699T000000105</t>
  </si>
  <si>
    <t>42020622699T000000109</t>
  </si>
  <si>
    <t>2130803</t>
  </si>
  <si>
    <t>农业保险保费补贴</t>
  </si>
  <si>
    <t>42020622699T000000100</t>
  </si>
  <si>
    <t>42020622699T000000110</t>
  </si>
  <si>
    <t>农业保险</t>
  </si>
  <si>
    <t>42020622699T000001056</t>
  </si>
  <si>
    <t>2021年农业保险保费补贴</t>
  </si>
  <si>
    <t>鄂财金发〔2021〕39号</t>
  </si>
  <si>
    <t>黄财金发〔2021〕336号</t>
  </si>
  <si>
    <t>其他金融支出</t>
  </si>
  <si>
    <t>42020623699T000000103</t>
  </si>
  <si>
    <t>黄财金发〔2023〕34号</t>
  </si>
  <si>
    <t>黄财金发〔2023〕41号</t>
  </si>
  <si>
    <t>其他运转类和特定目标类项目支出预算资金来源表（项目支出）-铁山区</t>
  </si>
  <si>
    <t>二级项目编码</t>
  </si>
  <si>
    <t>财政拨款(补助)</t>
  </si>
  <si>
    <t>年初预估
调剂</t>
  </si>
  <si>
    <r>
      <rPr>
        <b/>
        <sz val="10"/>
        <color indexed="8"/>
        <rFont val="宋体"/>
        <charset val="134"/>
      </rPr>
      <t>　　</t>
    </r>
    <r>
      <rPr>
        <b/>
        <sz val="10"/>
        <color indexed="8"/>
        <rFont val="Calibri"/>
        <charset val="134"/>
      </rPr>
      <t>901001</t>
    </r>
  </si>
  <si>
    <r>
      <rPr>
        <sz val="10"/>
        <color indexed="8"/>
        <rFont val="宋体"/>
        <charset val="134"/>
      </rPr>
      <t>　　　</t>
    </r>
    <r>
      <rPr>
        <sz val="10"/>
        <color indexed="8"/>
        <rFont val="Calibri"/>
        <charset val="134"/>
      </rPr>
      <t>901001</t>
    </r>
  </si>
  <si>
    <t>2010102</t>
  </si>
  <si>
    <t>42020523901T000000101</t>
  </si>
  <si>
    <t>铁财2023</t>
  </si>
  <si>
    <t>42020523901T000000102</t>
  </si>
  <si>
    <t>人大专项工作经费</t>
  </si>
  <si>
    <t>42020523901T000000103</t>
  </si>
  <si>
    <t>2010104</t>
  </si>
  <si>
    <t>人大会议</t>
  </si>
  <si>
    <t>42020522901T000000107</t>
  </si>
  <si>
    <t>42020522901T000000108</t>
  </si>
  <si>
    <t>代表活动经费</t>
  </si>
  <si>
    <r>
      <rPr>
        <b/>
        <sz val="10"/>
        <color indexed="8"/>
        <rFont val="宋体"/>
        <charset val="134"/>
      </rPr>
      <t>　　</t>
    </r>
    <r>
      <rPr>
        <b/>
        <sz val="10"/>
        <color indexed="8"/>
        <rFont val="Calibri"/>
        <charset val="134"/>
      </rPr>
      <t>902001</t>
    </r>
  </si>
  <si>
    <r>
      <rPr>
        <sz val="10"/>
        <color indexed="8"/>
        <rFont val="宋体"/>
        <charset val="134"/>
      </rPr>
      <t>　　　</t>
    </r>
    <r>
      <rPr>
        <sz val="10"/>
        <color indexed="8"/>
        <rFont val="Calibri"/>
        <charset val="134"/>
      </rPr>
      <t>902001</t>
    </r>
  </si>
  <si>
    <t>2010202</t>
  </si>
  <si>
    <t>42020522902T000000100</t>
  </si>
  <si>
    <t>42020523902T000000102</t>
  </si>
  <si>
    <t>政协专项工作经费</t>
  </si>
  <si>
    <t>42020523902T000000106</t>
  </si>
  <si>
    <t>2010204</t>
  </si>
  <si>
    <t>政协会议</t>
  </si>
  <si>
    <t>42020523902T000000104</t>
  </si>
  <si>
    <t>2010299</t>
  </si>
  <si>
    <t>其他政协事务支出</t>
  </si>
  <si>
    <t>42020523902T000000105</t>
  </si>
  <si>
    <t>委员活动费</t>
  </si>
  <si>
    <r>
      <rPr>
        <b/>
        <sz val="10"/>
        <color indexed="8"/>
        <rFont val="宋体"/>
        <charset val="134"/>
      </rPr>
      <t>　　</t>
    </r>
    <r>
      <rPr>
        <b/>
        <sz val="10"/>
        <color indexed="8"/>
        <rFont val="Calibri"/>
        <charset val="134"/>
      </rPr>
      <t>904001</t>
    </r>
  </si>
  <si>
    <r>
      <rPr>
        <sz val="10"/>
        <color indexed="8"/>
        <rFont val="宋体"/>
        <charset val="134"/>
      </rPr>
      <t>　　　</t>
    </r>
    <r>
      <rPr>
        <sz val="10"/>
        <color indexed="8"/>
        <rFont val="Calibri"/>
        <charset val="134"/>
      </rPr>
      <t>904001</t>
    </r>
  </si>
  <si>
    <t>42020522904T000000128</t>
  </si>
  <si>
    <t>42020522904T000000121</t>
  </si>
  <si>
    <t>便民服务中心运行经费</t>
  </si>
  <si>
    <t>42020522904T000000122</t>
  </si>
  <si>
    <t>42020522904T000000129</t>
  </si>
  <si>
    <t>42020522904T000000132</t>
  </si>
  <si>
    <t>42020522904T000000144</t>
  </si>
  <si>
    <t>熊家境景区管理维护费</t>
  </si>
  <si>
    <t>42020523904T000000101</t>
  </si>
  <si>
    <t>42020523904T000000102</t>
  </si>
  <si>
    <t>镇街统筹</t>
  </si>
  <si>
    <t>42020523904T000000111</t>
  </si>
  <si>
    <t>网格化管理专项</t>
  </si>
  <si>
    <t>42020523904T000000114</t>
  </si>
  <si>
    <t>创文工作经费</t>
  </si>
  <si>
    <t>铁山2023</t>
  </si>
  <si>
    <t>42020523904T000000112</t>
  </si>
  <si>
    <t>基层财政能力建设</t>
  </si>
  <si>
    <t>42020522904T000000116</t>
  </si>
  <si>
    <t>42020522904T000000117</t>
  </si>
  <si>
    <t>社区工作经费</t>
  </si>
  <si>
    <t>42020522904T000000119</t>
  </si>
  <si>
    <t>42020521904T001000011</t>
  </si>
  <si>
    <t>社区专项服务资金</t>
  </si>
  <si>
    <t>42020523904T000000113</t>
  </si>
  <si>
    <t>42020523904T000000104</t>
  </si>
  <si>
    <t>绿化维护</t>
  </si>
  <si>
    <t>42020523904T000000105</t>
  </si>
  <si>
    <t>垃圾分类第三方运营服务</t>
  </si>
  <si>
    <t>42020523904T000000106</t>
  </si>
  <si>
    <t>城维保洁</t>
  </si>
  <si>
    <t>42020523904T000000100</t>
  </si>
  <si>
    <r>
      <rPr>
        <sz val="9"/>
        <color rgb="FF000000"/>
        <rFont val="宋体"/>
        <charset val="134"/>
      </rPr>
      <t>年初预留</t>
    </r>
    <r>
      <rPr>
        <sz val="9"/>
        <color rgb="FF000000"/>
        <rFont val="Calibri"/>
        <charset val="134"/>
      </rPr>
      <t>-3</t>
    </r>
    <r>
      <rPr>
        <sz val="9"/>
        <color rgb="FF000000"/>
        <rFont val="宋体"/>
        <charset val="134"/>
      </rPr>
      <t>年过渡期财力补助</t>
    </r>
  </si>
  <si>
    <r>
      <rPr>
        <sz val="9"/>
        <color indexed="8"/>
        <rFont val="宋体"/>
        <charset val="134"/>
      </rPr>
      <t>年初预留</t>
    </r>
    <r>
      <rPr>
        <sz val="9"/>
        <color indexed="8"/>
        <rFont val="Calibri"/>
        <charset val="134"/>
      </rPr>
      <t>-3</t>
    </r>
    <r>
      <rPr>
        <sz val="9"/>
        <color indexed="8"/>
        <rFont val="宋体"/>
        <charset val="134"/>
      </rPr>
      <t>年过渡期财力补助</t>
    </r>
  </si>
  <si>
    <t>42020522904T000000131</t>
  </si>
  <si>
    <t>信访维稳费用</t>
  </si>
  <si>
    <t>42020523904T000000103</t>
  </si>
  <si>
    <t>铁投还本付息</t>
  </si>
  <si>
    <r>
      <rPr>
        <b/>
        <sz val="10"/>
        <color indexed="8"/>
        <rFont val="宋体"/>
        <charset val="134"/>
      </rPr>
      <t>　　</t>
    </r>
    <r>
      <rPr>
        <b/>
        <sz val="10"/>
        <color indexed="8"/>
        <rFont val="Calibri"/>
        <charset val="134"/>
      </rPr>
      <t>904002</t>
    </r>
  </si>
  <si>
    <r>
      <rPr>
        <b/>
        <sz val="9"/>
        <color indexed="8"/>
        <rFont val="宋体"/>
        <charset val="134"/>
      </rPr>
      <t>　　黄石经济技术开发区</t>
    </r>
    <r>
      <rPr>
        <b/>
        <sz val="9"/>
        <color indexed="8"/>
        <rFont val="Calibri"/>
        <charset val="134"/>
      </rPr>
      <t>·</t>
    </r>
    <r>
      <rPr>
        <b/>
        <sz val="9"/>
        <color indexed="8"/>
        <rFont val="宋体"/>
        <charset val="134"/>
      </rPr>
      <t>铁山区城市管理执法局铁山街道中队本级</t>
    </r>
  </si>
  <si>
    <r>
      <rPr>
        <sz val="10"/>
        <color indexed="8"/>
        <rFont val="宋体"/>
        <charset val="134"/>
      </rPr>
      <t>　　　</t>
    </r>
    <r>
      <rPr>
        <sz val="10"/>
        <color indexed="8"/>
        <rFont val="Calibri"/>
        <charset val="134"/>
      </rPr>
      <t>904002</t>
    </r>
  </si>
  <si>
    <r>
      <rPr>
        <sz val="9"/>
        <color indexed="8"/>
        <rFont val="宋体"/>
        <charset val="134"/>
      </rPr>
      <t>　　　黄石经济技术开发区</t>
    </r>
    <r>
      <rPr>
        <sz val="9"/>
        <color indexed="8"/>
        <rFont val="Calibri"/>
        <charset val="134"/>
      </rPr>
      <t>·</t>
    </r>
    <r>
      <rPr>
        <sz val="9"/>
        <color indexed="8"/>
        <rFont val="宋体"/>
        <charset val="134"/>
      </rPr>
      <t>铁山区城市管理执法局铁山街道中队本级</t>
    </r>
  </si>
  <si>
    <t>42020523904T000000107</t>
  </si>
  <si>
    <t>42020523904T000000108</t>
  </si>
  <si>
    <t>洗车点、治超点经费</t>
  </si>
  <si>
    <t>42020523904T000000109</t>
  </si>
  <si>
    <t>置装费</t>
  </si>
  <si>
    <t>42020523904T000000110</t>
  </si>
  <si>
    <t>数字城管劳务费</t>
  </si>
  <si>
    <r>
      <rPr>
        <b/>
        <sz val="10"/>
        <color indexed="8"/>
        <rFont val="宋体"/>
        <charset val="134"/>
      </rPr>
      <t>　　</t>
    </r>
    <r>
      <rPr>
        <b/>
        <sz val="10"/>
        <color indexed="8"/>
        <rFont val="Calibri"/>
        <charset val="134"/>
      </rPr>
      <t>904003</t>
    </r>
  </si>
  <si>
    <r>
      <rPr>
        <sz val="10"/>
        <color indexed="8"/>
        <rFont val="宋体"/>
        <charset val="134"/>
      </rPr>
      <t>　　　</t>
    </r>
    <r>
      <rPr>
        <sz val="10"/>
        <color indexed="8"/>
        <rFont val="Calibri"/>
        <charset val="134"/>
      </rPr>
      <t>904003</t>
    </r>
  </si>
  <si>
    <t>2150102</t>
  </si>
  <si>
    <t>42020523904T000000115</t>
  </si>
  <si>
    <r>
      <rPr>
        <b/>
        <sz val="10"/>
        <color indexed="8"/>
        <rFont val="宋体"/>
        <charset val="134"/>
      </rPr>
      <t>　　</t>
    </r>
    <r>
      <rPr>
        <b/>
        <sz val="10"/>
        <color indexed="8"/>
        <rFont val="Calibri"/>
        <charset val="134"/>
      </rPr>
      <t>905002</t>
    </r>
  </si>
  <si>
    <r>
      <rPr>
        <sz val="10"/>
        <color indexed="8"/>
        <rFont val="宋体"/>
        <charset val="134"/>
      </rPr>
      <t>　　　</t>
    </r>
    <r>
      <rPr>
        <sz val="10"/>
        <color indexed="8"/>
        <rFont val="Calibri"/>
        <charset val="134"/>
      </rPr>
      <t>905002</t>
    </r>
  </si>
  <si>
    <t>42020522905T000000100</t>
  </si>
  <si>
    <t>42020522905T000000102</t>
  </si>
  <si>
    <t>基本公共卫生服务补助</t>
  </si>
  <si>
    <r>
      <rPr>
        <b/>
        <sz val="10"/>
        <color indexed="8"/>
        <rFont val="宋体"/>
        <charset val="134"/>
      </rPr>
      <t>　　</t>
    </r>
    <r>
      <rPr>
        <b/>
        <sz val="10"/>
        <color indexed="8"/>
        <rFont val="Calibri"/>
        <charset val="134"/>
      </rPr>
      <t>906002</t>
    </r>
  </si>
  <si>
    <r>
      <rPr>
        <sz val="10"/>
        <color indexed="8"/>
        <rFont val="宋体"/>
        <charset val="134"/>
      </rPr>
      <t>　　　</t>
    </r>
    <r>
      <rPr>
        <sz val="10"/>
        <color indexed="8"/>
        <rFont val="Calibri"/>
        <charset val="134"/>
      </rPr>
      <t>906002</t>
    </r>
  </si>
  <si>
    <t>42020521906T002000004</t>
  </si>
  <si>
    <t>42020522906T000000107</t>
  </si>
  <si>
    <t>42020523906T000000118</t>
  </si>
  <si>
    <r>
      <rPr>
        <b/>
        <sz val="10"/>
        <color indexed="8"/>
        <rFont val="宋体"/>
        <charset val="134"/>
      </rPr>
      <t>　　</t>
    </r>
    <r>
      <rPr>
        <b/>
        <sz val="10"/>
        <color indexed="8"/>
        <rFont val="Calibri"/>
        <charset val="134"/>
      </rPr>
      <t>906003</t>
    </r>
  </si>
  <si>
    <r>
      <rPr>
        <sz val="10"/>
        <color indexed="8"/>
        <rFont val="宋体"/>
        <charset val="134"/>
      </rPr>
      <t>　　　</t>
    </r>
    <r>
      <rPr>
        <sz val="10"/>
        <color indexed="8"/>
        <rFont val="Calibri"/>
        <charset val="134"/>
      </rPr>
      <t>906003</t>
    </r>
  </si>
  <si>
    <t>42020522906T000000136</t>
  </si>
  <si>
    <t>42020523906T000000104</t>
  </si>
  <si>
    <t>42020523906T000000120</t>
  </si>
  <si>
    <r>
      <rPr>
        <b/>
        <sz val="10"/>
        <color indexed="8"/>
        <rFont val="宋体"/>
        <charset val="134"/>
      </rPr>
      <t>　　</t>
    </r>
    <r>
      <rPr>
        <b/>
        <sz val="10"/>
        <color indexed="8"/>
        <rFont val="Calibri"/>
        <charset val="134"/>
      </rPr>
      <t>906004</t>
    </r>
  </si>
  <si>
    <r>
      <rPr>
        <sz val="10"/>
        <color indexed="8"/>
        <rFont val="宋体"/>
        <charset val="134"/>
      </rPr>
      <t>　　　</t>
    </r>
    <r>
      <rPr>
        <sz val="10"/>
        <color indexed="8"/>
        <rFont val="Calibri"/>
        <charset val="134"/>
      </rPr>
      <t>906004</t>
    </r>
  </si>
  <si>
    <t>42020521906T004000006</t>
  </si>
  <si>
    <t>42020522906T000000117</t>
  </si>
  <si>
    <t>42020523906T000000101</t>
  </si>
  <si>
    <r>
      <rPr>
        <b/>
        <sz val="10"/>
        <color indexed="8"/>
        <rFont val="宋体"/>
        <charset val="134"/>
      </rPr>
      <t>　　</t>
    </r>
    <r>
      <rPr>
        <b/>
        <sz val="10"/>
        <color indexed="8"/>
        <rFont val="Calibri"/>
        <charset val="134"/>
      </rPr>
      <t>906007</t>
    </r>
  </si>
  <si>
    <r>
      <rPr>
        <sz val="10"/>
        <color indexed="8"/>
        <rFont val="宋体"/>
        <charset val="134"/>
      </rPr>
      <t>　　　</t>
    </r>
    <r>
      <rPr>
        <sz val="10"/>
        <color indexed="8"/>
        <rFont val="Calibri"/>
        <charset val="134"/>
      </rPr>
      <t>906007</t>
    </r>
  </si>
  <si>
    <t>42020521906T007000011</t>
  </si>
  <si>
    <t>学校建设及维修改造（铁）</t>
  </si>
  <si>
    <t>42020522906T000000100</t>
  </si>
  <si>
    <t>42020523906T000000125</t>
  </si>
  <si>
    <t>42020521906T007000012</t>
  </si>
  <si>
    <t>42020523906T000000129</t>
  </si>
  <si>
    <t>42020523906T000000121</t>
  </si>
  <si>
    <t>42020523906T000000124</t>
  </si>
  <si>
    <t>42020522999T000000107</t>
  </si>
  <si>
    <r>
      <rPr>
        <sz val="10"/>
        <color indexed="8"/>
        <rFont val="宋体"/>
        <charset val="134"/>
      </rPr>
      <t>　　　</t>
    </r>
    <r>
      <rPr>
        <sz val="10"/>
        <color indexed="8"/>
        <rFont val="Calibri"/>
        <charset val="134"/>
      </rPr>
      <t>999003</t>
    </r>
  </si>
  <si>
    <r>
      <rPr>
        <sz val="9"/>
        <color rgb="FF000000"/>
        <rFont val="宋体"/>
        <charset val="134"/>
      </rPr>
      <t>机关事业单位养老保险补助</t>
    </r>
    <r>
      <rPr>
        <sz val="9"/>
        <color rgb="FF000000"/>
        <rFont val="Calibri"/>
        <charset val="134"/>
      </rPr>
      <t>(</t>
    </r>
    <r>
      <rPr>
        <sz val="9"/>
        <color rgb="FF000000"/>
        <rFont val="宋体"/>
        <charset val="134"/>
      </rPr>
      <t>铁</t>
    </r>
    <r>
      <rPr>
        <sz val="9"/>
        <color rgb="FF000000"/>
        <rFont val="Calibri"/>
        <charset val="134"/>
      </rPr>
      <t>)</t>
    </r>
  </si>
  <si>
    <t>42020522999T000000112</t>
  </si>
  <si>
    <t>城乡居民养老保险</t>
  </si>
  <si>
    <t>黄财社发〔2023〕46号</t>
  </si>
  <si>
    <t>黄财社发〔2023〕47号</t>
  </si>
  <si>
    <t>黄财社发〔2023〕48号</t>
  </si>
  <si>
    <t>42020523999T000000100</t>
  </si>
  <si>
    <r>
      <rPr>
        <sz val="9"/>
        <color rgb="FF000000"/>
        <rFont val="宋体"/>
        <charset val="134"/>
      </rPr>
      <t>城乡居民养老保险</t>
    </r>
    <r>
      <rPr>
        <sz val="9"/>
        <color rgb="FF000000"/>
        <rFont val="Calibri"/>
        <charset val="134"/>
      </rPr>
      <t>--</t>
    </r>
    <r>
      <rPr>
        <sz val="9"/>
        <color rgb="FF000000"/>
        <rFont val="宋体"/>
        <charset val="134"/>
      </rPr>
      <t>转移支付</t>
    </r>
  </si>
  <si>
    <r>
      <rPr>
        <b/>
        <sz val="10"/>
        <color indexed="8"/>
        <rFont val="宋体"/>
        <charset val="134"/>
      </rPr>
      <t>　　</t>
    </r>
    <r>
      <rPr>
        <b/>
        <sz val="10"/>
        <color indexed="8"/>
        <rFont val="Calibri"/>
        <charset val="134"/>
      </rPr>
      <t>999005</t>
    </r>
  </si>
  <si>
    <r>
      <rPr>
        <sz val="10"/>
        <color indexed="8"/>
        <rFont val="宋体"/>
        <charset val="134"/>
      </rPr>
      <t>　　　</t>
    </r>
    <r>
      <rPr>
        <sz val="10"/>
        <color indexed="8"/>
        <rFont val="Calibri"/>
        <charset val="134"/>
      </rPr>
      <t>999005</t>
    </r>
  </si>
  <si>
    <t>2050399</t>
  </si>
  <si>
    <t>其他职业教育支出</t>
  </si>
  <si>
    <t>42020522999T000000104</t>
  </si>
  <si>
    <t>国有企业职教幼教退休教师生活补贴</t>
  </si>
  <si>
    <t>42020523999T000000103</t>
  </si>
  <si>
    <t>黄财建发〔2022〕261号</t>
  </si>
  <si>
    <t>42020523999T000000101</t>
  </si>
  <si>
    <t>城管考核保证金</t>
  </si>
  <si>
    <r>
      <rPr>
        <b/>
        <sz val="10"/>
        <color indexed="8"/>
        <rFont val="宋体"/>
        <charset val="134"/>
      </rPr>
      <t>　　</t>
    </r>
    <r>
      <rPr>
        <b/>
        <sz val="10"/>
        <color indexed="8"/>
        <rFont val="Calibri"/>
        <charset val="134"/>
      </rPr>
      <t>998002</t>
    </r>
  </si>
  <si>
    <r>
      <rPr>
        <sz val="10"/>
        <color indexed="8"/>
        <rFont val="宋体"/>
        <charset val="134"/>
      </rPr>
      <t>　　　</t>
    </r>
    <r>
      <rPr>
        <sz val="10"/>
        <color indexed="8"/>
        <rFont val="Calibri"/>
        <charset val="134"/>
      </rPr>
      <t>998002</t>
    </r>
  </si>
  <si>
    <t>　　　中国人民解放军湖北省黄石军分区</t>
  </si>
  <si>
    <t>42020522998T000000100</t>
  </si>
  <si>
    <t>铁山人武部专项经费</t>
  </si>
  <si>
    <t>42020522998T000000101</t>
  </si>
  <si>
    <t>人武部职工补助资金</t>
  </si>
  <si>
    <t>　　　国库科（国库集中收付中心）</t>
  </si>
  <si>
    <t>2010605</t>
  </si>
  <si>
    <t>财政国库业务</t>
  </si>
  <si>
    <t>42020523999T000021952</t>
  </si>
  <si>
    <t>预算执行工作经费</t>
  </si>
  <si>
    <t>黄财库发〔2022〕294号</t>
  </si>
  <si>
    <r>
      <rPr>
        <b/>
        <sz val="10"/>
        <color indexed="8"/>
        <rFont val="宋体"/>
        <charset val="134"/>
      </rPr>
      <t>　　</t>
    </r>
    <r>
      <rPr>
        <b/>
        <sz val="10"/>
        <color indexed="8"/>
        <rFont val="Calibri"/>
        <charset val="134"/>
      </rPr>
      <t>999007</t>
    </r>
  </si>
  <si>
    <r>
      <rPr>
        <sz val="10"/>
        <color indexed="8"/>
        <rFont val="宋体"/>
        <charset val="134"/>
      </rPr>
      <t>　　　</t>
    </r>
    <r>
      <rPr>
        <sz val="10"/>
        <color indexed="8"/>
        <rFont val="Calibri"/>
        <charset val="134"/>
      </rPr>
      <t>999007</t>
    </r>
  </si>
  <si>
    <t>42020522999T000000102</t>
  </si>
  <si>
    <t>42020522999T000000108</t>
  </si>
  <si>
    <t>42020522999T000000101</t>
  </si>
  <si>
    <t>关于下达2022年省级平安建设（综治工作）激励性转移支付资金的通知</t>
  </si>
  <si>
    <t>黄财行发〔2022〕116号</t>
  </si>
  <si>
    <r>
      <rPr>
        <b/>
        <sz val="10"/>
        <color indexed="8"/>
        <rFont val="宋体"/>
        <charset val="134"/>
      </rPr>
      <t>　　</t>
    </r>
    <r>
      <rPr>
        <b/>
        <sz val="10"/>
        <color indexed="8"/>
        <rFont val="Calibri"/>
        <charset val="134"/>
      </rPr>
      <t>999009</t>
    </r>
  </si>
  <si>
    <r>
      <rPr>
        <sz val="10"/>
        <color indexed="8"/>
        <rFont val="宋体"/>
        <charset val="134"/>
      </rPr>
      <t>　　　</t>
    </r>
    <r>
      <rPr>
        <sz val="10"/>
        <color indexed="8"/>
        <rFont val="Calibri"/>
        <charset val="134"/>
      </rPr>
      <t>999009</t>
    </r>
  </si>
  <si>
    <t>42020523999T000000104</t>
  </si>
  <si>
    <t>新增一般债券项目</t>
  </si>
  <si>
    <t>黄财债发〔2023〕25号</t>
  </si>
  <si>
    <t>42020522999T000000109</t>
  </si>
  <si>
    <t>政府债券还本</t>
  </si>
  <si>
    <t>42020522999T000000105</t>
  </si>
  <si>
    <r>
      <rPr>
        <sz val="9"/>
        <color indexed="8"/>
        <rFont val="宋体"/>
        <charset val="134"/>
      </rPr>
      <t>政府债券利息支出</t>
    </r>
    <r>
      <rPr>
        <sz val="9"/>
        <color indexed="8"/>
        <rFont val="Calibri"/>
        <charset val="134"/>
      </rPr>
      <t>(</t>
    </r>
    <r>
      <rPr>
        <sz val="9"/>
        <color indexed="8"/>
        <rFont val="宋体"/>
        <charset val="134"/>
      </rPr>
      <t>铁</t>
    </r>
    <r>
      <rPr>
        <sz val="9"/>
        <color indexed="8"/>
        <rFont val="Calibri"/>
        <charset val="134"/>
      </rPr>
      <t>)</t>
    </r>
  </si>
  <si>
    <t>42020523999T000000102</t>
  </si>
  <si>
    <r>
      <rPr>
        <b/>
        <sz val="10"/>
        <color indexed="8"/>
        <rFont val="宋体"/>
        <charset val="134"/>
      </rPr>
      <t>　　</t>
    </r>
    <r>
      <rPr>
        <b/>
        <sz val="10"/>
        <color indexed="8"/>
        <rFont val="Calibri"/>
        <charset val="134"/>
      </rPr>
      <t>999010</t>
    </r>
  </si>
  <si>
    <r>
      <rPr>
        <sz val="10"/>
        <color indexed="8"/>
        <rFont val="宋体"/>
        <charset val="134"/>
      </rPr>
      <t>　　　</t>
    </r>
    <r>
      <rPr>
        <sz val="10"/>
        <color indexed="8"/>
        <rFont val="Calibri"/>
        <charset val="134"/>
      </rPr>
      <t>999010</t>
    </r>
  </si>
  <si>
    <t>42020522999T000000100</t>
  </si>
  <si>
    <t>城市防洪项目日元贷款还本付息</t>
  </si>
</sst>
</file>

<file path=xl/styles.xml><?xml version="1.0" encoding="utf-8"?>
<styleSheet xmlns="http://schemas.openxmlformats.org/spreadsheetml/2006/main" xmlns:mc="http://schemas.openxmlformats.org/markup-compatibility/2006" xmlns:xr9="http://schemas.microsoft.com/office/spreadsheetml/2016/revision9" mc:Ignorable="xr9">
  <numFmts count="1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Red]\-#,##0.00\ "/>
    <numFmt numFmtId="177" formatCode="#,##0.00;[Red]#,##0.0"/>
    <numFmt numFmtId="178" formatCode="#,##0_ ;[Red]\-#,##0\ "/>
    <numFmt numFmtId="179" formatCode="0.0%"/>
    <numFmt numFmtId="180" formatCode="_ * #,##0_ ;_ * \-#,##0_ ;_ * &quot;-&quot;??_ ;_ @_ "/>
    <numFmt numFmtId="181" formatCode="#,##0.0_);[Red]\(#,##0.0\)"/>
    <numFmt numFmtId="182" formatCode="_-* #,##0_-;\-* #,##0_-;_-* &quot;-&quot;??_-;_-@_-"/>
    <numFmt numFmtId="183" formatCode="#,##0.00_ "/>
    <numFmt numFmtId="184" formatCode="0_ "/>
    <numFmt numFmtId="185" formatCode="#,##0_ "/>
  </numFmts>
  <fonts count="129">
    <font>
      <sz val="11"/>
      <color theme="1"/>
      <name val="宋体"/>
      <charset val="134"/>
      <scheme val="minor"/>
    </font>
    <font>
      <sz val="11"/>
      <color indexed="8"/>
      <name val="Calibri"/>
      <charset val="0"/>
    </font>
    <font>
      <b/>
      <sz val="10"/>
      <color indexed="8"/>
      <name val="Calibri"/>
      <charset val="0"/>
    </font>
    <font>
      <sz val="10"/>
      <name val="Arial"/>
      <charset val="0"/>
    </font>
    <font>
      <sz val="11"/>
      <color indexed="8"/>
      <name val="Calibri"/>
      <charset val="134"/>
    </font>
    <font>
      <b/>
      <sz val="11"/>
      <color indexed="8"/>
      <name val="Calibri"/>
      <charset val="134"/>
    </font>
    <font>
      <sz val="10"/>
      <name val="Arial"/>
      <charset val="134"/>
    </font>
    <font>
      <b/>
      <sz val="20"/>
      <color indexed="8"/>
      <name val="黑体"/>
      <charset val="134"/>
    </font>
    <font>
      <sz val="11"/>
      <color indexed="8"/>
      <name val="宋体"/>
      <charset val="134"/>
    </font>
    <font>
      <b/>
      <sz val="10"/>
      <color indexed="8"/>
      <name val="宋体"/>
      <charset val="134"/>
    </font>
    <font>
      <b/>
      <sz val="9"/>
      <color indexed="8"/>
      <name val="宋体"/>
      <charset val="134"/>
    </font>
    <font>
      <b/>
      <sz val="10"/>
      <color indexed="8"/>
      <name val="Calibri"/>
      <charset val="134"/>
    </font>
    <font>
      <b/>
      <sz val="9"/>
      <color indexed="8"/>
      <name val="Calibri"/>
      <charset val="134"/>
    </font>
    <font>
      <sz val="10"/>
      <color indexed="8"/>
      <name val="宋体"/>
      <charset val="134"/>
    </font>
    <font>
      <sz val="9"/>
      <color indexed="8"/>
      <name val="宋体"/>
      <charset val="134"/>
    </font>
    <font>
      <sz val="10"/>
      <color indexed="8"/>
      <name val="Calibri"/>
      <charset val="134"/>
    </font>
    <font>
      <sz val="10"/>
      <name val="SimSun"/>
      <charset val="134"/>
    </font>
    <font>
      <sz val="9"/>
      <name val="SimSun"/>
      <charset val="134"/>
    </font>
    <font>
      <sz val="9"/>
      <color rgb="FF000000"/>
      <name val="宋体"/>
      <charset val="134"/>
    </font>
    <font>
      <b/>
      <sz val="11"/>
      <color indexed="8"/>
      <name val="宋体"/>
      <charset val="134"/>
    </font>
    <font>
      <b/>
      <sz val="9"/>
      <name val="SimSun"/>
      <charset val="134"/>
    </font>
    <font>
      <b/>
      <sz val="9"/>
      <color indexed="8"/>
      <name val="宋体"/>
      <charset val="134"/>
      <scheme val="minor"/>
    </font>
    <font>
      <sz val="10"/>
      <color rgb="FF000000"/>
      <name val="宋体"/>
      <charset val="134"/>
    </font>
    <font>
      <sz val="10"/>
      <color indexed="8"/>
      <name val="Calibri"/>
      <charset val="0"/>
    </font>
    <font>
      <sz val="9"/>
      <color indexed="8"/>
      <name val="Calibri"/>
      <charset val="134"/>
    </font>
    <font>
      <sz val="10"/>
      <name val="Calibri"/>
      <charset val="134"/>
    </font>
    <font>
      <sz val="9"/>
      <color rgb="FFFF0000"/>
      <name val="SimSun"/>
      <charset val="134"/>
    </font>
    <font>
      <b/>
      <sz val="16"/>
      <color indexed="8"/>
      <name val="Calibri"/>
      <charset val="134"/>
    </font>
    <font>
      <b/>
      <sz val="10"/>
      <color rgb="FF000000"/>
      <name val="宋体"/>
      <charset val="134"/>
    </font>
    <font>
      <sz val="11"/>
      <color rgb="FF000000"/>
      <name val="宋体"/>
      <charset val="0"/>
    </font>
    <font>
      <b/>
      <sz val="8"/>
      <color theme="1"/>
      <name val="宋体"/>
      <charset val="134"/>
      <scheme val="minor"/>
    </font>
    <font>
      <b/>
      <sz val="11"/>
      <color rgb="FF000000"/>
      <name val="宋体"/>
      <charset val="134"/>
    </font>
    <font>
      <b/>
      <sz val="10"/>
      <name val="Calibri"/>
      <charset val="134"/>
    </font>
    <font>
      <b/>
      <sz val="8"/>
      <name val="宋体"/>
      <charset val="134"/>
      <scheme val="minor"/>
    </font>
    <font>
      <sz val="9"/>
      <color indexed="8"/>
      <name val="Calibri"/>
      <charset val="0"/>
    </font>
    <font>
      <b/>
      <sz val="11"/>
      <color indexed="8"/>
      <name val="Calibri"/>
      <charset val="0"/>
    </font>
    <font>
      <b/>
      <sz val="10"/>
      <color indexed="8"/>
      <name val="宋体"/>
      <charset val="0"/>
    </font>
    <font>
      <sz val="10"/>
      <color indexed="8"/>
      <name val="宋体"/>
      <charset val="0"/>
    </font>
    <font>
      <b/>
      <sz val="9"/>
      <color indexed="8"/>
      <name val="Calibri"/>
      <charset val="0"/>
    </font>
    <font>
      <b/>
      <sz val="9"/>
      <color indexed="8"/>
      <name val="宋体"/>
      <charset val="0"/>
    </font>
    <font>
      <b/>
      <sz val="11"/>
      <color indexed="8"/>
      <name val="宋体"/>
      <charset val="0"/>
    </font>
    <font>
      <b/>
      <sz val="11"/>
      <color rgb="FF000000"/>
      <name val="宋体"/>
      <charset val="0"/>
    </font>
    <font>
      <sz val="11"/>
      <color indexed="8"/>
      <name val="宋体"/>
      <charset val="0"/>
    </font>
    <font>
      <sz val="12"/>
      <name val="宋体"/>
      <charset val="134"/>
    </font>
    <font>
      <b/>
      <sz val="24"/>
      <name val="宋体"/>
      <charset val="134"/>
    </font>
    <font>
      <sz val="11"/>
      <name val="宋体"/>
      <charset val="134"/>
    </font>
    <font>
      <sz val="10"/>
      <name val="宋体"/>
      <charset val="134"/>
    </font>
    <font>
      <b/>
      <sz val="14"/>
      <name val="宋体"/>
      <charset val="134"/>
    </font>
    <font>
      <b/>
      <sz val="12"/>
      <name val="宋体"/>
      <charset val="134"/>
    </font>
    <font>
      <b/>
      <sz val="10"/>
      <color rgb="FF000000"/>
      <name val="宋体"/>
      <charset val="134"/>
      <scheme val="minor"/>
    </font>
    <font>
      <b/>
      <sz val="10"/>
      <name val="宋体"/>
      <charset val="134"/>
      <scheme val="minor"/>
    </font>
    <font>
      <b/>
      <sz val="10"/>
      <name val="宋体"/>
      <charset val="134"/>
    </font>
    <font>
      <b/>
      <sz val="11"/>
      <name val="宋体"/>
      <charset val="134"/>
    </font>
    <font>
      <b/>
      <sz val="24"/>
      <name val="方正小标宋_GBK"/>
      <charset val="134"/>
    </font>
    <font>
      <sz val="8"/>
      <name val="宋体"/>
      <charset val="134"/>
    </font>
    <font>
      <b/>
      <sz val="12"/>
      <color indexed="8"/>
      <name val="宋体"/>
      <charset val="134"/>
    </font>
    <font>
      <sz val="12"/>
      <name val="黑体"/>
      <charset val="134"/>
    </font>
    <font>
      <b/>
      <sz val="14"/>
      <name val="仿宋"/>
      <charset val="134"/>
    </font>
    <font>
      <b/>
      <sz val="12"/>
      <name val="Calibri"/>
      <charset val="134"/>
    </font>
    <font>
      <b/>
      <sz val="14"/>
      <color indexed="8"/>
      <name val="仿宋"/>
      <charset val="134"/>
    </font>
    <font>
      <sz val="14"/>
      <name val="仿宋"/>
      <charset val="134"/>
    </font>
    <font>
      <b/>
      <sz val="24"/>
      <color theme="1"/>
      <name val="宋体"/>
      <charset val="134"/>
      <scheme val="minor"/>
    </font>
    <font>
      <sz val="12"/>
      <color theme="1"/>
      <name val="宋体"/>
      <charset val="134"/>
      <scheme val="minor"/>
    </font>
    <font>
      <b/>
      <sz val="10"/>
      <color theme="1"/>
      <name val="宋体"/>
      <charset val="134"/>
      <scheme val="minor"/>
    </font>
    <font>
      <b/>
      <sz val="12"/>
      <color theme="1"/>
      <name val="宋体"/>
      <charset val="134"/>
      <scheme val="minor"/>
    </font>
    <font>
      <b/>
      <sz val="11"/>
      <color theme="1"/>
      <name val="宋体"/>
      <charset val="134"/>
      <scheme val="minor"/>
    </font>
    <font>
      <sz val="11"/>
      <color theme="1"/>
      <name val="宋体"/>
      <charset val="134"/>
    </font>
    <font>
      <b/>
      <sz val="20"/>
      <name val="宋体"/>
      <charset val="134"/>
    </font>
    <font>
      <sz val="10"/>
      <name val="黑体"/>
      <charset val="134"/>
    </font>
    <font>
      <sz val="10"/>
      <color theme="1"/>
      <name val="黑体"/>
      <charset val="134"/>
    </font>
    <font>
      <b/>
      <sz val="11"/>
      <color indexed="8"/>
      <name val="黑体"/>
      <charset val="134"/>
    </font>
    <font>
      <sz val="11"/>
      <name val="黑体"/>
      <charset val="134"/>
    </font>
    <font>
      <b/>
      <sz val="9"/>
      <color theme="1"/>
      <name val="黑体"/>
      <charset val="134"/>
    </font>
    <font>
      <b/>
      <sz val="9"/>
      <name val="黑体"/>
      <charset val="134"/>
    </font>
    <font>
      <b/>
      <sz val="9"/>
      <color indexed="8"/>
      <name val="黑体"/>
      <charset val="134"/>
    </font>
    <font>
      <b/>
      <sz val="9"/>
      <color theme="1"/>
      <name val="Calibri"/>
      <charset val="134"/>
    </font>
    <font>
      <b/>
      <sz val="9"/>
      <name val="Calibri"/>
      <charset val="134"/>
    </font>
    <font>
      <b/>
      <sz val="9"/>
      <color indexed="10"/>
      <name val="Calibri"/>
      <charset val="134"/>
    </font>
    <font>
      <sz val="24"/>
      <name val="宋体"/>
      <charset val="134"/>
    </font>
    <font>
      <sz val="9"/>
      <name val="宋体"/>
      <charset val="134"/>
    </font>
    <font>
      <sz val="9"/>
      <color rgb="FFFF0000"/>
      <name val="宋体"/>
      <charset val="134"/>
    </font>
    <font>
      <b/>
      <sz val="8"/>
      <name val="宋体"/>
      <charset val="134"/>
    </font>
    <font>
      <sz val="11"/>
      <color indexed="8"/>
      <name val="方正小标宋_GBK"/>
      <charset val="0"/>
    </font>
    <font>
      <b/>
      <sz val="11"/>
      <color rgb="FF000000"/>
      <name val="Calibri"/>
      <charset val="0"/>
    </font>
    <font>
      <b/>
      <sz val="10"/>
      <color rgb="FF000000"/>
      <name val="宋体"/>
      <charset val="0"/>
    </font>
    <font>
      <b/>
      <sz val="10"/>
      <color rgb="FF000000"/>
      <name val="Calibri"/>
      <charset val="0"/>
    </font>
    <font>
      <i/>
      <sz val="10"/>
      <name val="宋体"/>
      <charset val="134"/>
    </font>
    <font>
      <b/>
      <sz val="18"/>
      <name val="宋体"/>
      <charset val="134"/>
    </font>
    <font>
      <sz val="10"/>
      <color rgb="FFFF0000"/>
      <name val="宋体"/>
      <charset val="134"/>
    </font>
    <font>
      <sz val="10"/>
      <color theme="1"/>
      <name val="宋体"/>
      <charset val="134"/>
      <scheme val="minor"/>
    </font>
    <font>
      <sz val="10"/>
      <color theme="1"/>
      <name val="宋体"/>
      <charset val="134"/>
    </font>
    <font>
      <b/>
      <sz val="10"/>
      <color theme="1"/>
      <name val="宋体"/>
      <charset val="134"/>
    </font>
    <font>
      <b/>
      <sz val="10"/>
      <name val="宋体"/>
      <charset val="0"/>
    </font>
    <font>
      <sz val="10"/>
      <name val="宋体"/>
      <charset val="0"/>
    </font>
    <font>
      <b/>
      <sz val="24"/>
      <name val="方正大标宋简体"/>
      <charset val="134"/>
    </font>
    <font>
      <sz val="10"/>
      <color rgb="FF000000"/>
      <name val="宋体"/>
      <charset val="0"/>
    </font>
    <font>
      <b/>
      <sz val="20"/>
      <color indexed="8"/>
      <name val="方正大标宋简体"/>
      <charset val="134"/>
    </font>
    <font>
      <b/>
      <sz val="9"/>
      <color rgb="FF000000"/>
      <name val="Calibri"/>
      <charset val="0"/>
    </font>
    <font>
      <b/>
      <sz val="20"/>
      <name val="方正大标宋简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23"/>
      <color rgb="FF000000"/>
      <name val="宋体"/>
      <charset val="134"/>
      <scheme val="minor"/>
    </font>
    <font>
      <sz val="12"/>
      <color indexed="8"/>
      <name val="宋体"/>
      <charset val="134"/>
    </font>
    <font>
      <sz val="12"/>
      <name val="Times New Roman"/>
      <charset val="0"/>
    </font>
    <font>
      <sz val="9"/>
      <color rgb="FF000000"/>
      <name val="Calibri"/>
      <charset val="134"/>
    </font>
    <font>
      <b/>
      <sz val="12"/>
      <name val="黑体"/>
      <charset val="0"/>
    </font>
    <font>
      <b/>
      <sz val="11"/>
      <color theme="1"/>
      <name val="黑体"/>
      <charset val="134"/>
    </font>
    <font>
      <sz val="11"/>
      <name val="黑体"/>
      <charset val="0"/>
    </font>
    <font>
      <b/>
      <sz val="11"/>
      <color theme="1"/>
      <name val="宋体"/>
      <charset val="134"/>
    </font>
    <font>
      <sz val="10"/>
      <color rgb="FF000000"/>
      <name val="Calibri"/>
      <charset val="0"/>
    </font>
    <font>
      <b/>
      <sz val="9"/>
      <name val="宋体"/>
      <charset val="134"/>
    </font>
    <font>
      <sz val="9"/>
      <name val="宋体"/>
      <charset val="134"/>
    </font>
  </fonts>
  <fills count="57">
    <fill>
      <patternFill patternType="none"/>
    </fill>
    <fill>
      <patternFill patternType="gray125"/>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0" tint="-0.5"/>
        <bgColor indexed="64"/>
      </patternFill>
    </fill>
    <fill>
      <patternFill patternType="solid">
        <fgColor theme="9" tint="0.4"/>
        <bgColor indexed="64"/>
      </patternFill>
    </fill>
    <fill>
      <patternFill patternType="solid">
        <fgColor theme="6" tint="0.399975585192419"/>
        <bgColor indexed="64"/>
      </patternFill>
    </fill>
    <fill>
      <patternFill patternType="solid">
        <fgColor rgb="FFFFFF00"/>
        <bgColor indexed="64"/>
      </patternFill>
    </fill>
    <fill>
      <patternFill patternType="solid">
        <fgColor rgb="FFFFC000"/>
        <bgColor indexed="64"/>
      </patternFill>
    </fill>
    <fill>
      <patternFill patternType="solid">
        <fgColor theme="7" tint="0.799981688894314"/>
        <bgColor rgb="FFF4F6FD"/>
      </patternFill>
    </fill>
    <fill>
      <patternFill patternType="solid">
        <fgColor rgb="FFFFC000"/>
        <bgColor rgb="FFF4F6FD"/>
      </patternFill>
    </fill>
    <fill>
      <patternFill patternType="solid">
        <fgColor theme="6" tint="0.399975585192419"/>
        <bgColor rgb="FFF4F6FD"/>
      </patternFill>
    </fill>
    <fill>
      <patternFill patternType="solid">
        <fgColor rgb="FFFF0000"/>
        <bgColor indexed="64"/>
      </patternFill>
    </fill>
    <fill>
      <patternFill patternType="solid">
        <fgColor theme="7" tint="0.599993896298105"/>
        <bgColor indexed="64"/>
      </patternFill>
    </fill>
    <fill>
      <patternFill patternType="solid">
        <fgColor theme="9" tint="0.399975585192419"/>
        <bgColor indexed="64"/>
      </patternFill>
    </fill>
    <fill>
      <patternFill patternType="solid">
        <fgColor theme="7" tint="0.8"/>
        <bgColor indexed="64"/>
      </patternFill>
    </fill>
    <fill>
      <patternFill patternType="solid">
        <fgColor theme="7" tint="-0.25"/>
        <bgColor indexed="64"/>
      </patternFill>
    </fill>
    <fill>
      <patternFill patternType="solid">
        <fgColor rgb="FFFFFF00"/>
        <bgColor rgb="FFF4F6FD"/>
      </patternFill>
    </fill>
    <fill>
      <patternFill patternType="solid">
        <fgColor theme="7" tint="0.8"/>
        <bgColor rgb="FFF4F6FD"/>
      </patternFill>
    </fill>
    <fill>
      <patternFill patternType="solid">
        <fgColor theme="4" tint="0.599993896298105"/>
        <bgColor indexed="64"/>
      </patternFill>
    </fill>
    <fill>
      <patternFill patternType="solid">
        <fgColor theme="0" tint="-0.5"/>
        <bgColor rgb="FFF4F6FD"/>
      </patternFill>
    </fill>
    <fill>
      <patternFill patternType="solid">
        <fgColor theme="2"/>
        <bgColor indexed="64"/>
      </patternFill>
    </fill>
    <fill>
      <patternFill patternType="solid">
        <fgColor theme="5" tint="0.8"/>
        <bgColor indexed="64"/>
      </patternFill>
    </fill>
    <fill>
      <patternFill patternType="solid">
        <fgColor theme="9" tint="0.8"/>
        <bgColor indexed="64"/>
      </patternFill>
    </fill>
    <fill>
      <patternFill patternType="solid">
        <fgColor rgb="FFF4F6FD"/>
        <bgColor rgb="FFF4F6FD"/>
      </patternFill>
    </fill>
    <fill>
      <patternFill patternType="solid">
        <fgColor theme="0" tint="-0.05"/>
        <bgColor indexed="64"/>
      </patternFill>
    </fill>
    <fill>
      <patternFill patternType="solid">
        <fgColor indexed="9"/>
        <bgColor indexed="64"/>
      </patternFill>
    </fill>
    <fill>
      <patternFill patternType="solid">
        <fgColor theme="2" tint="-0.1"/>
        <bgColor indexed="64"/>
      </patternFill>
    </fill>
    <fill>
      <patternFill patternType="solid">
        <fgColor theme="4"/>
        <bgColor indexed="64"/>
      </patternFill>
    </fill>
    <fill>
      <patternFill patternType="solid">
        <fgColor theme="9" tint="0.6"/>
        <bgColor indexed="64"/>
      </patternFill>
    </fill>
    <fill>
      <patternFill patternType="solid">
        <fgColor theme="8" tint="0.6"/>
        <bgColor indexed="64"/>
      </patternFill>
    </fill>
    <fill>
      <patternFill patternType="solid">
        <fgColor theme="4" tint="0.4"/>
        <bgColor indexed="64"/>
      </patternFill>
    </fill>
    <fill>
      <patternFill patternType="solid">
        <fgColor theme="8" tint="0.8"/>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5"/>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E8EAEC"/>
      </left>
      <right style="thin">
        <color rgb="FFE8EAEC"/>
      </right>
      <top style="thin">
        <color rgb="FFE8EAEC"/>
      </top>
      <bottom style="thin">
        <color rgb="FFE8EAEC"/>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8"/>
      </left>
      <right/>
      <top style="thin">
        <color indexed="8"/>
      </top>
      <bottom style="thin">
        <color indexed="8"/>
      </bottom>
      <diagonal/>
    </border>
    <border>
      <left style="thin">
        <color indexed="8"/>
      </left>
      <right/>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9" fillId="0" borderId="0" applyNumberFormat="0" applyFill="0" applyBorder="0" applyAlignment="0" applyProtection="0">
      <alignment vertical="center"/>
    </xf>
    <xf numFmtId="0" fontId="100" fillId="0" borderId="0" applyNumberFormat="0" applyFill="0" applyBorder="0" applyAlignment="0" applyProtection="0">
      <alignment vertical="center"/>
    </xf>
    <xf numFmtId="0" fontId="0" fillId="34" borderId="15" applyNumberFormat="0" applyFont="0" applyAlignment="0" applyProtection="0">
      <alignment vertical="center"/>
    </xf>
    <xf numFmtId="0" fontId="101" fillId="0" borderId="0" applyNumberFormat="0" applyFill="0" applyBorder="0" applyAlignment="0" applyProtection="0">
      <alignment vertical="center"/>
    </xf>
    <xf numFmtId="0" fontId="102" fillId="0" borderId="0" applyNumberFormat="0" applyFill="0" applyBorder="0" applyAlignment="0" applyProtection="0">
      <alignment vertical="center"/>
    </xf>
    <xf numFmtId="0" fontId="103" fillId="0" borderId="0" applyNumberFormat="0" applyFill="0" applyBorder="0" applyAlignment="0" applyProtection="0">
      <alignment vertical="center"/>
    </xf>
    <xf numFmtId="0" fontId="104" fillId="0" borderId="16" applyNumberFormat="0" applyFill="0" applyAlignment="0" applyProtection="0">
      <alignment vertical="center"/>
    </xf>
    <xf numFmtId="0" fontId="105" fillId="0" borderId="16" applyNumberFormat="0" applyFill="0" applyAlignment="0" applyProtection="0">
      <alignment vertical="center"/>
    </xf>
    <xf numFmtId="0" fontId="106" fillId="0" borderId="17" applyNumberFormat="0" applyFill="0" applyAlignment="0" applyProtection="0">
      <alignment vertical="center"/>
    </xf>
    <xf numFmtId="0" fontId="106" fillId="0" borderId="0" applyNumberFormat="0" applyFill="0" applyBorder="0" applyAlignment="0" applyProtection="0">
      <alignment vertical="center"/>
    </xf>
    <xf numFmtId="0" fontId="107" fillId="35" borderId="18" applyNumberFormat="0" applyAlignment="0" applyProtection="0">
      <alignment vertical="center"/>
    </xf>
    <xf numFmtId="0" fontId="108" fillId="36" borderId="19" applyNumberFormat="0" applyAlignment="0" applyProtection="0">
      <alignment vertical="center"/>
    </xf>
    <xf numFmtId="0" fontId="109" fillId="36" borderId="18" applyNumberFormat="0" applyAlignment="0" applyProtection="0">
      <alignment vertical="center"/>
    </xf>
    <xf numFmtId="0" fontId="110" fillId="37" borderId="20" applyNumberFormat="0" applyAlignment="0" applyProtection="0">
      <alignment vertical="center"/>
    </xf>
    <xf numFmtId="0" fontId="111" fillId="0" borderId="21" applyNumberFormat="0" applyFill="0" applyAlignment="0" applyProtection="0">
      <alignment vertical="center"/>
    </xf>
    <xf numFmtId="0" fontId="112" fillId="0" borderId="22" applyNumberFormat="0" applyFill="0" applyAlignment="0" applyProtection="0">
      <alignment vertical="center"/>
    </xf>
    <xf numFmtId="0" fontId="113" fillId="38" borderId="0" applyNumberFormat="0" applyBorder="0" applyAlignment="0" applyProtection="0">
      <alignment vertical="center"/>
    </xf>
    <xf numFmtId="0" fontId="114" fillId="39" borderId="0" applyNumberFormat="0" applyBorder="0" applyAlignment="0" applyProtection="0">
      <alignment vertical="center"/>
    </xf>
    <xf numFmtId="0" fontId="115" fillId="40" borderId="0" applyNumberFormat="0" applyBorder="0" applyAlignment="0" applyProtection="0">
      <alignment vertical="center"/>
    </xf>
    <xf numFmtId="0" fontId="116" fillId="29" borderId="0" applyNumberFormat="0" applyBorder="0" applyAlignment="0" applyProtection="0">
      <alignment vertical="center"/>
    </xf>
    <xf numFmtId="0" fontId="117" fillId="41" borderId="0" applyNumberFormat="0" applyBorder="0" applyAlignment="0" applyProtection="0">
      <alignment vertical="center"/>
    </xf>
    <xf numFmtId="0" fontId="117" fillId="20" borderId="0" applyNumberFormat="0" applyBorder="0" applyAlignment="0" applyProtection="0">
      <alignment vertical="center"/>
    </xf>
    <xf numFmtId="0" fontId="116" fillId="42" borderId="0" applyNumberFormat="0" applyBorder="0" applyAlignment="0" applyProtection="0">
      <alignment vertical="center"/>
    </xf>
    <xf numFmtId="0" fontId="116" fillId="43" borderId="0" applyNumberFormat="0" applyBorder="0" applyAlignment="0" applyProtection="0">
      <alignment vertical="center"/>
    </xf>
    <xf numFmtId="0" fontId="117" fillId="3" borderId="0" applyNumberFormat="0" applyBorder="0" applyAlignment="0" applyProtection="0">
      <alignment vertical="center"/>
    </xf>
    <xf numFmtId="0" fontId="117" fillId="44" borderId="0" applyNumberFormat="0" applyBorder="0" applyAlignment="0" applyProtection="0">
      <alignment vertical="center"/>
    </xf>
    <xf numFmtId="0" fontId="116" fillId="45" borderId="0" applyNumberFormat="0" applyBorder="0" applyAlignment="0" applyProtection="0">
      <alignment vertical="center"/>
    </xf>
    <xf numFmtId="0" fontId="116" fillId="46" borderId="0" applyNumberFormat="0" applyBorder="0" applyAlignment="0" applyProtection="0">
      <alignment vertical="center"/>
    </xf>
    <xf numFmtId="0" fontId="117" fillId="47" borderId="0" applyNumberFormat="0" applyBorder="0" applyAlignment="0" applyProtection="0">
      <alignment vertical="center"/>
    </xf>
    <xf numFmtId="0" fontId="117" fillId="48" borderId="0" applyNumberFormat="0" applyBorder="0" applyAlignment="0" applyProtection="0">
      <alignment vertical="center"/>
    </xf>
    <xf numFmtId="0" fontId="116" fillId="7" borderId="0" applyNumberFormat="0" applyBorder="0" applyAlignment="0" applyProtection="0">
      <alignment vertical="center"/>
    </xf>
    <xf numFmtId="0" fontId="116" fillId="49" borderId="0" applyNumberFormat="0" applyBorder="0" applyAlignment="0" applyProtection="0">
      <alignment vertical="center"/>
    </xf>
    <xf numFmtId="0" fontId="117" fillId="2" borderId="0" applyNumberFormat="0" applyBorder="0" applyAlignment="0" applyProtection="0">
      <alignment vertical="center"/>
    </xf>
    <xf numFmtId="0" fontId="117" fillId="14" borderId="0" applyNumberFormat="0" applyBorder="0" applyAlignment="0" applyProtection="0">
      <alignment vertical="center"/>
    </xf>
    <xf numFmtId="0" fontId="116" fillId="50" borderId="0" applyNumberFormat="0" applyBorder="0" applyAlignment="0" applyProtection="0">
      <alignment vertical="center"/>
    </xf>
    <xf numFmtId="0" fontId="116" fillId="51" borderId="0" applyNumberFormat="0" applyBorder="0" applyAlignment="0" applyProtection="0">
      <alignment vertical="center"/>
    </xf>
    <xf numFmtId="0" fontId="117" fillId="52" borderId="0" applyNumberFormat="0" applyBorder="0" applyAlignment="0" applyProtection="0">
      <alignment vertical="center"/>
    </xf>
    <xf numFmtId="0" fontId="117" fillId="53" borderId="0" applyNumberFormat="0" applyBorder="0" applyAlignment="0" applyProtection="0">
      <alignment vertical="center"/>
    </xf>
    <xf numFmtId="0" fontId="116" fillId="54" borderId="0" applyNumberFormat="0" applyBorder="0" applyAlignment="0" applyProtection="0">
      <alignment vertical="center"/>
    </xf>
    <xf numFmtId="0" fontId="116" fillId="55" borderId="0" applyNumberFormat="0" applyBorder="0" applyAlignment="0" applyProtection="0">
      <alignment vertical="center"/>
    </xf>
    <xf numFmtId="0" fontId="117" fillId="4" borderId="0" applyNumberFormat="0" applyBorder="0" applyAlignment="0" applyProtection="0">
      <alignment vertical="center"/>
    </xf>
    <xf numFmtId="0" fontId="117" fillId="56" borderId="0" applyNumberFormat="0" applyBorder="0" applyAlignment="0" applyProtection="0">
      <alignment vertical="center"/>
    </xf>
    <xf numFmtId="0" fontId="116" fillId="15" borderId="0" applyNumberFormat="0" applyBorder="0" applyAlignment="0" applyProtection="0">
      <alignment vertical="center"/>
    </xf>
    <xf numFmtId="0" fontId="79" fillId="0" borderId="0"/>
    <xf numFmtId="0" fontId="118" fillId="0" borderId="0">
      <alignment vertical="center"/>
    </xf>
    <xf numFmtId="43" fontId="43"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alignment vertical="center"/>
    </xf>
    <xf numFmtId="0" fontId="119" fillId="0" borderId="0">
      <alignment vertical="center"/>
    </xf>
    <xf numFmtId="0" fontId="43" fillId="0" borderId="0">
      <alignment vertical="center"/>
    </xf>
    <xf numFmtId="0" fontId="43" fillId="0" borderId="0">
      <alignment vertical="center"/>
    </xf>
    <xf numFmtId="43" fontId="43" fillId="0" borderId="0" applyFont="0" applyFill="0" applyBorder="0" applyAlignment="0" applyProtection="0">
      <alignment vertical="center"/>
    </xf>
    <xf numFmtId="0" fontId="119" fillId="0" borderId="0">
      <alignment vertical="center"/>
    </xf>
    <xf numFmtId="43" fontId="43" fillId="0" borderId="0" applyFont="0" applyFill="0" applyBorder="0" applyAlignment="0" applyProtection="0">
      <alignment vertical="center"/>
    </xf>
    <xf numFmtId="0" fontId="43" fillId="0" borderId="0">
      <alignment vertical="center"/>
    </xf>
    <xf numFmtId="43" fontId="0" fillId="0" borderId="0" applyFont="0" applyFill="0" applyBorder="0" applyAlignment="0" applyProtection="0">
      <alignment vertical="center"/>
    </xf>
    <xf numFmtId="0" fontId="79" fillId="0" borderId="0"/>
    <xf numFmtId="0" fontId="43" fillId="0" borderId="0"/>
    <xf numFmtId="44" fontId="0" fillId="0" borderId="0" applyFont="0" applyFill="0" applyBorder="0" applyAlignment="0" applyProtection="0">
      <alignment vertical="center"/>
    </xf>
    <xf numFmtId="0" fontId="3" fillId="0" borderId="0"/>
    <xf numFmtId="0" fontId="43" fillId="0" borderId="0">
      <alignment vertical="center"/>
    </xf>
    <xf numFmtId="0" fontId="8" fillId="0" borderId="0">
      <alignment vertical="center"/>
    </xf>
    <xf numFmtId="0" fontId="43" fillId="0" borderId="0"/>
    <xf numFmtId="0" fontId="43" fillId="0" borderId="0">
      <protection locked="0"/>
    </xf>
    <xf numFmtId="0" fontId="0" fillId="0" borderId="0"/>
    <xf numFmtId="0" fontId="0" fillId="0" borderId="0"/>
    <xf numFmtId="0" fontId="43" fillId="0" borderId="0"/>
    <xf numFmtId="0" fontId="120" fillId="0" borderId="0"/>
    <xf numFmtId="0" fontId="43" fillId="0" borderId="0"/>
    <xf numFmtId="0" fontId="43" fillId="0" borderId="0"/>
  </cellStyleXfs>
  <cellXfs count="559">
    <xf numFmtId="0" fontId="0" fillId="0" borderId="0" xfId="0">
      <alignment vertical="center"/>
    </xf>
    <xf numFmtId="0" fontId="1" fillId="0" borderId="0" xfId="0" applyFont="1" applyFill="1" applyBorder="1" applyAlignment="1" applyProtection="1"/>
    <xf numFmtId="0" fontId="2" fillId="0" borderId="0" xfId="0" applyFont="1" applyFill="1" applyBorder="1" applyAlignment="1" applyProtection="1">
      <alignment vertical="center"/>
    </xf>
    <xf numFmtId="0" fontId="2" fillId="0" borderId="0" xfId="0" applyFont="1" applyFill="1" applyBorder="1" applyAlignment="1" applyProtection="1"/>
    <xf numFmtId="0" fontId="1" fillId="0" borderId="0" xfId="0" applyFont="1" applyFill="1" applyBorder="1" applyAlignment="1" applyProtection="1">
      <alignment wrapText="1"/>
    </xf>
    <xf numFmtId="0" fontId="3" fillId="0" borderId="0" xfId="0" applyFont="1" applyFill="1" applyBorder="1" applyAlignment="1">
      <alignment vertical="center"/>
    </xf>
    <xf numFmtId="0" fontId="3" fillId="0" borderId="0" xfId="0" applyFont="1" applyFill="1" applyBorder="1" applyAlignment="1"/>
    <xf numFmtId="0" fontId="4" fillId="0" borderId="0" xfId="0" applyFont="1" applyFill="1" applyBorder="1" applyAlignment="1" applyProtection="1"/>
    <xf numFmtId="0" fontId="4" fillId="0" borderId="0" xfId="0" applyFont="1" applyFill="1" applyBorder="1" applyAlignment="1" applyProtection="1">
      <alignment wrapText="1"/>
    </xf>
    <xf numFmtId="0" fontId="5" fillId="2" borderId="0" xfId="0" applyFont="1" applyFill="1" applyBorder="1" applyAlignment="1" applyProtection="1"/>
    <xf numFmtId="0" fontId="6" fillId="0" borderId="0" xfId="0" applyFont="1" applyFill="1" applyBorder="1" applyAlignment="1">
      <alignment vertical="center"/>
    </xf>
    <xf numFmtId="0" fontId="7" fillId="0" borderId="0" xfId="0" applyFont="1" applyFill="1" applyAlignment="1" applyProtection="1">
      <alignment horizontal="center" vertical="center"/>
    </xf>
    <xf numFmtId="0" fontId="8" fillId="0" borderId="0" xfId="0" applyFont="1" applyFill="1" applyBorder="1" applyAlignment="1" applyProtection="1">
      <alignment vertical="center"/>
    </xf>
    <xf numFmtId="0" fontId="9" fillId="0" borderId="1" xfId="0" applyNumberFormat="1" applyFont="1" applyFill="1" applyBorder="1" applyAlignment="1" applyProtection="1">
      <alignment horizontal="center" vertical="center" wrapText="1"/>
    </xf>
    <xf numFmtId="0" fontId="9" fillId="2" borderId="1" xfId="0" applyNumberFormat="1" applyFont="1" applyFill="1" applyBorder="1" applyAlignment="1" applyProtection="1">
      <alignment horizontal="center" vertical="center" wrapText="1"/>
    </xf>
    <xf numFmtId="176" fontId="9" fillId="0" borderId="1" xfId="0" applyNumberFormat="1" applyFont="1" applyFill="1" applyBorder="1" applyAlignment="1" applyProtection="1">
      <alignment horizontal="center" vertical="center" wrapText="1"/>
    </xf>
    <xf numFmtId="0" fontId="9" fillId="0" borderId="1" xfId="0" applyNumberFormat="1" applyFont="1" applyFill="1" applyBorder="1" applyAlignment="1" applyProtection="1">
      <alignment vertical="center" wrapText="1"/>
    </xf>
    <xf numFmtId="0" fontId="9" fillId="2" borderId="1" xfId="0" applyNumberFormat="1" applyFont="1" applyFill="1" applyBorder="1" applyAlignment="1" applyProtection="1">
      <alignment vertical="center" wrapText="1"/>
    </xf>
    <xf numFmtId="0" fontId="8" fillId="0" borderId="1" xfId="0" applyNumberFormat="1" applyFont="1" applyFill="1" applyBorder="1" applyAlignment="1" applyProtection="1">
      <alignment horizontal="center" vertical="center" wrapText="1"/>
    </xf>
    <xf numFmtId="0" fontId="8" fillId="2" borderId="1" xfId="0" applyNumberFormat="1" applyFont="1" applyFill="1" applyBorder="1" applyAlignment="1" applyProtection="1">
      <alignment horizontal="center" vertical="center" wrapText="1"/>
    </xf>
    <xf numFmtId="0" fontId="5" fillId="0" borderId="1" xfId="0" applyNumberFormat="1" applyFont="1" applyFill="1" applyBorder="1" applyAlignment="1" applyProtection="1">
      <alignment vertical="center"/>
    </xf>
    <xf numFmtId="0" fontId="5" fillId="2" borderId="1" xfId="0" applyNumberFormat="1" applyFont="1" applyFill="1" applyBorder="1" applyAlignment="1" applyProtection="1">
      <alignment vertical="center"/>
    </xf>
    <xf numFmtId="176" fontId="5" fillId="3" borderId="1" xfId="0" applyNumberFormat="1" applyFont="1" applyFill="1" applyBorder="1" applyAlignment="1" applyProtection="1">
      <alignment horizontal="right" wrapText="1"/>
    </xf>
    <xf numFmtId="0" fontId="10" fillId="0" borderId="1" xfId="0" applyNumberFormat="1" applyFont="1" applyFill="1" applyBorder="1" applyAlignment="1" applyProtection="1">
      <alignment vertical="center" wrapText="1"/>
    </xf>
    <xf numFmtId="0" fontId="11" fillId="2" borderId="1" xfId="0" applyNumberFormat="1" applyFont="1" applyFill="1" applyBorder="1" applyAlignment="1" applyProtection="1">
      <alignment vertical="center" wrapText="1"/>
    </xf>
    <xf numFmtId="0" fontId="11" fillId="0" borderId="1" xfId="0" applyNumberFormat="1" applyFont="1" applyFill="1" applyBorder="1" applyAlignment="1" applyProtection="1">
      <alignment vertical="center" wrapText="1"/>
    </xf>
    <xf numFmtId="0" fontId="12" fillId="0" borderId="1" xfId="0" applyNumberFormat="1" applyFont="1" applyFill="1" applyBorder="1" applyAlignment="1" applyProtection="1">
      <alignment vertical="center" wrapText="1"/>
    </xf>
    <xf numFmtId="176" fontId="5" fillId="4" borderId="1" xfId="0" applyNumberFormat="1" applyFont="1" applyFill="1" applyBorder="1" applyAlignment="1" applyProtection="1">
      <alignment horizontal="right" wrapText="1"/>
    </xf>
    <xf numFmtId="0" fontId="13" fillId="0" borderId="1" xfId="0" applyNumberFormat="1" applyFont="1" applyFill="1" applyBorder="1" applyAlignment="1" applyProtection="1">
      <alignment vertical="center" wrapText="1"/>
    </xf>
    <xf numFmtId="0" fontId="14" fillId="0" borderId="1" xfId="0" applyNumberFormat="1" applyFont="1" applyFill="1" applyBorder="1" applyAlignment="1" applyProtection="1">
      <alignment vertical="center" wrapText="1"/>
    </xf>
    <xf numFmtId="0" fontId="15" fillId="2" borderId="1" xfId="0" applyNumberFormat="1" applyFont="1" applyFill="1" applyBorder="1" applyAlignment="1" applyProtection="1">
      <alignment vertical="center" wrapText="1"/>
    </xf>
    <xf numFmtId="0" fontId="13" fillId="5" borderId="1" xfId="0" applyNumberFormat="1" applyFont="1" applyFill="1" applyBorder="1" applyAlignment="1" applyProtection="1">
      <alignment vertical="center" wrapText="1"/>
    </xf>
    <xf numFmtId="0" fontId="14" fillId="2" borderId="1" xfId="0" applyNumberFormat="1" applyFont="1" applyFill="1" applyBorder="1" applyAlignment="1" applyProtection="1">
      <alignment vertical="center" wrapText="1"/>
    </xf>
    <xf numFmtId="176" fontId="11" fillId="0" borderId="1" xfId="0" applyNumberFormat="1" applyFont="1" applyFill="1" applyBorder="1" applyAlignment="1" applyProtection="1">
      <alignment horizontal="right" wrapText="1"/>
    </xf>
    <xf numFmtId="0" fontId="16"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3" fillId="6" borderId="1" xfId="0" applyNumberFormat="1" applyFont="1" applyFill="1" applyBorder="1" applyAlignment="1" applyProtection="1">
      <alignment vertical="center" wrapText="1"/>
    </xf>
    <xf numFmtId="0" fontId="15" fillId="7" borderId="1" xfId="0" applyNumberFormat="1" applyFont="1" applyFill="1" applyBorder="1" applyAlignment="1" applyProtection="1">
      <alignment vertical="center" wrapText="1"/>
    </xf>
    <xf numFmtId="0" fontId="17" fillId="8" borderId="1" xfId="0" applyFont="1" applyFill="1" applyBorder="1" applyAlignment="1">
      <alignment horizontal="left" vertical="center" wrapText="1"/>
    </xf>
    <xf numFmtId="0" fontId="13" fillId="9" borderId="1" xfId="0" applyNumberFormat="1" applyFont="1" applyFill="1" applyBorder="1" applyAlignment="1" applyProtection="1">
      <alignment vertical="center" wrapText="1"/>
    </xf>
    <xf numFmtId="0" fontId="17" fillId="0" borderId="1" xfId="0" applyFont="1" applyFill="1" applyBorder="1" applyAlignment="1">
      <alignment horizontal="left" vertical="center" wrapText="1"/>
    </xf>
    <xf numFmtId="0" fontId="16" fillId="7" borderId="1" xfId="0" applyFont="1" applyFill="1" applyBorder="1" applyAlignment="1">
      <alignment horizontal="left" vertical="center" wrapText="1"/>
    </xf>
    <xf numFmtId="0" fontId="18" fillId="2" borderId="1" xfId="0" applyNumberFormat="1" applyFont="1" applyFill="1" applyBorder="1" applyAlignment="1" applyProtection="1">
      <alignment vertical="center" wrapText="1"/>
    </xf>
    <xf numFmtId="0" fontId="9" fillId="0" borderId="1" xfId="0" applyFont="1" applyFill="1" applyBorder="1" applyAlignment="1" applyProtection="1">
      <alignment vertical="center"/>
    </xf>
    <xf numFmtId="0" fontId="9" fillId="0" borderId="1" xfId="0" applyFont="1" applyFill="1" applyBorder="1" applyAlignment="1" applyProtection="1">
      <alignment vertical="center" wrapText="1"/>
    </xf>
    <xf numFmtId="0" fontId="13" fillId="0" borderId="1" xfId="0" applyFont="1" applyFill="1" applyBorder="1" applyAlignment="1" applyProtection="1">
      <alignment vertical="center"/>
    </xf>
    <xf numFmtId="0" fontId="13" fillId="0" borderId="1" xfId="0" applyFont="1" applyFill="1" applyBorder="1" applyAlignment="1" applyProtection="1">
      <alignment vertical="center" wrapText="1"/>
    </xf>
    <xf numFmtId="0" fontId="17" fillId="5" borderId="1" xfId="0" applyFont="1" applyFill="1" applyBorder="1" applyAlignment="1">
      <alignment horizontal="left" vertical="center" wrapText="1"/>
    </xf>
    <xf numFmtId="0" fontId="14" fillId="7" borderId="1" xfId="0" applyNumberFormat="1" applyFont="1" applyFill="1" applyBorder="1" applyAlignment="1" applyProtection="1">
      <alignment vertical="center" wrapText="1"/>
    </xf>
    <xf numFmtId="0" fontId="17" fillId="10" borderId="1" xfId="0" applyFont="1" applyFill="1" applyBorder="1" applyAlignment="1">
      <alignment horizontal="left" vertical="center" wrapText="1"/>
    </xf>
    <xf numFmtId="0" fontId="17" fillId="11" borderId="1" xfId="0" applyFont="1" applyFill="1" applyBorder="1" applyAlignment="1">
      <alignment horizontal="left" vertical="center" wrapText="1"/>
    </xf>
    <xf numFmtId="0" fontId="16" fillId="12" borderId="1" xfId="0" applyFont="1" applyFill="1" applyBorder="1" applyAlignment="1">
      <alignment horizontal="left" vertical="center" wrapText="1"/>
    </xf>
    <xf numFmtId="0" fontId="13" fillId="13" borderId="1" xfId="0" applyNumberFormat="1" applyFont="1" applyFill="1" applyBorder="1" applyAlignment="1" applyProtection="1">
      <alignment vertical="center" wrapText="1"/>
    </xf>
    <xf numFmtId="0" fontId="8" fillId="9" borderId="1" xfId="0" applyNumberFormat="1" applyFont="1" applyFill="1" applyBorder="1" applyAlignment="1" applyProtection="1">
      <alignment horizontal="center" vertical="center" wrapText="1"/>
    </xf>
    <xf numFmtId="176" fontId="11" fillId="9" borderId="1" xfId="0" applyNumberFormat="1" applyFont="1" applyFill="1" applyBorder="1" applyAlignment="1" applyProtection="1">
      <alignment horizontal="right" wrapText="1"/>
    </xf>
    <xf numFmtId="176" fontId="11" fillId="14" borderId="1" xfId="0" applyNumberFormat="1" applyFont="1" applyFill="1" applyBorder="1" applyAlignment="1" applyProtection="1">
      <alignment horizontal="right" wrapText="1"/>
    </xf>
    <xf numFmtId="0" fontId="15" fillId="0" borderId="0" xfId="0" applyFont="1" applyFill="1" applyBorder="1" applyAlignment="1" applyProtection="1">
      <alignment vertical="center"/>
    </xf>
    <xf numFmtId="0" fontId="5" fillId="0" borderId="0" xfId="0" applyFont="1" applyFill="1" applyBorder="1" applyAlignment="1" applyProtection="1"/>
    <xf numFmtId="176" fontId="9" fillId="0" borderId="2" xfId="0" applyNumberFormat="1" applyFont="1" applyFill="1" applyBorder="1" applyAlignment="1" applyProtection="1">
      <alignment horizontal="center" vertical="center" wrapText="1"/>
    </xf>
    <xf numFmtId="176" fontId="9" fillId="0" borderId="3" xfId="0" applyNumberFormat="1" applyFont="1" applyFill="1" applyBorder="1" applyAlignment="1" applyProtection="1">
      <alignment horizontal="center" vertical="center" wrapText="1"/>
    </xf>
    <xf numFmtId="176" fontId="9" fillId="0" borderId="4" xfId="0" applyNumberFormat="1" applyFont="1" applyFill="1" applyBorder="1" applyAlignment="1" applyProtection="1">
      <alignment vertical="center" wrapText="1"/>
    </xf>
    <xf numFmtId="176" fontId="9" fillId="2" borderId="1" xfId="0" applyNumberFormat="1" applyFont="1" applyFill="1" applyBorder="1" applyAlignment="1" applyProtection="1">
      <alignment horizontal="center" vertical="center" wrapText="1"/>
    </xf>
    <xf numFmtId="0" fontId="11" fillId="0" borderId="0" xfId="0" applyFont="1" applyFill="1" applyBorder="1" applyAlignment="1" applyProtection="1">
      <alignment vertical="center"/>
    </xf>
    <xf numFmtId="0" fontId="8" fillId="8" borderId="1" xfId="0" applyNumberFormat="1" applyFont="1" applyFill="1" applyBorder="1" applyAlignment="1" applyProtection="1">
      <alignment horizontal="center" vertical="center" wrapText="1"/>
    </xf>
    <xf numFmtId="176" fontId="19" fillId="2" borderId="1" xfId="0" applyNumberFormat="1"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176" fontId="5" fillId="2" borderId="1" xfId="0" applyNumberFormat="1" applyFont="1" applyFill="1" applyBorder="1" applyAlignment="1" applyProtection="1">
      <alignment horizontal="right" vertical="center" wrapText="1"/>
    </xf>
    <xf numFmtId="176" fontId="5" fillId="2" borderId="1" xfId="0" applyNumberFormat="1" applyFont="1" applyFill="1" applyBorder="1" applyAlignment="1" applyProtection="1">
      <alignment wrapText="1"/>
    </xf>
    <xf numFmtId="176" fontId="11" fillId="8" borderId="1" xfId="0" applyNumberFormat="1" applyFont="1" applyFill="1" applyBorder="1" applyAlignment="1" applyProtection="1">
      <alignment horizontal="right" wrapText="1"/>
    </xf>
    <xf numFmtId="176" fontId="20" fillId="2" borderId="1" xfId="0" applyNumberFormat="1" applyFont="1" applyFill="1" applyBorder="1" applyAlignment="1">
      <alignment horizontal="left" vertical="center" wrapText="1"/>
    </xf>
    <xf numFmtId="176" fontId="11" fillId="15" borderId="1" xfId="0" applyNumberFormat="1" applyFont="1" applyFill="1" applyBorder="1" applyAlignment="1" applyProtection="1">
      <alignment horizontal="right" wrapText="1"/>
    </xf>
    <xf numFmtId="176" fontId="20" fillId="8" borderId="1" xfId="0" applyNumberFormat="1" applyFont="1" applyFill="1" applyBorder="1" applyAlignment="1">
      <alignment horizontal="left" vertical="center" wrapText="1"/>
    </xf>
    <xf numFmtId="0" fontId="17" fillId="9" borderId="5" xfId="0" applyFont="1" applyFill="1" applyBorder="1" applyAlignment="1">
      <alignment horizontal="left" vertical="center" wrapText="1"/>
    </xf>
    <xf numFmtId="176" fontId="11" fillId="13" borderId="1" xfId="0" applyNumberFormat="1" applyFont="1" applyFill="1" applyBorder="1" applyAlignment="1" applyProtection="1">
      <alignment horizontal="right" wrapText="1"/>
    </xf>
    <xf numFmtId="0" fontId="20" fillId="11" borderId="1" xfId="0" applyFont="1" applyFill="1" applyBorder="1" applyAlignment="1">
      <alignment horizontal="left" vertical="center" wrapText="1"/>
    </xf>
    <xf numFmtId="176" fontId="20" fillId="9" borderId="1" xfId="0" applyNumberFormat="1" applyFont="1" applyFill="1" applyBorder="1" applyAlignment="1">
      <alignment horizontal="left" vertical="center" wrapText="1"/>
    </xf>
    <xf numFmtId="0" fontId="17" fillId="9" borderId="1" xfId="0" applyFont="1" applyFill="1" applyBorder="1" applyAlignment="1">
      <alignment horizontal="left" vertical="center" wrapText="1"/>
    </xf>
    <xf numFmtId="0" fontId="18" fillId="7" borderId="1" xfId="0" applyNumberFormat="1" applyFont="1" applyFill="1" applyBorder="1" applyAlignment="1" applyProtection="1">
      <alignment vertical="center" wrapText="1"/>
    </xf>
    <xf numFmtId="0" fontId="17" fillId="16" borderId="5" xfId="0" applyFont="1" applyFill="1" applyBorder="1" applyAlignment="1">
      <alignment horizontal="left" vertical="center" wrapText="1"/>
    </xf>
    <xf numFmtId="0" fontId="17" fillId="13" borderId="5" xfId="0" applyFont="1" applyFill="1" applyBorder="1" applyAlignment="1">
      <alignment horizontal="left" vertical="center" wrapText="1"/>
    </xf>
    <xf numFmtId="0" fontId="17" fillId="0" borderId="0" xfId="0" applyFont="1" applyFill="1" applyBorder="1" applyAlignment="1">
      <alignment horizontal="left" vertical="center" wrapText="1"/>
    </xf>
    <xf numFmtId="0" fontId="17" fillId="0" borderId="5" xfId="0" applyFont="1" applyFill="1" applyBorder="1" applyAlignment="1">
      <alignment horizontal="left" vertical="center" wrapText="1"/>
    </xf>
    <xf numFmtId="0" fontId="14" fillId="9" borderId="1" xfId="0" applyNumberFormat="1" applyFont="1" applyFill="1" applyBorder="1" applyAlignment="1" applyProtection="1">
      <alignment vertical="center" wrapText="1"/>
    </xf>
    <xf numFmtId="0" fontId="13" fillId="17" borderId="1" xfId="0" applyNumberFormat="1" applyFont="1" applyFill="1" applyBorder="1" applyAlignment="1" applyProtection="1">
      <alignment vertical="center" wrapText="1"/>
    </xf>
    <xf numFmtId="0" fontId="15" fillId="0" borderId="1" xfId="0" applyNumberFormat="1" applyFont="1" applyFill="1" applyBorder="1" applyAlignment="1" applyProtection="1">
      <alignment vertical="center" wrapText="1"/>
    </xf>
    <xf numFmtId="0" fontId="13" fillId="8" borderId="1" xfId="0" applyNumberFormat="1" applyFont="1" applyFill="1" applyBorder="1" applyAlignment="1" applyProtection="1">
      <alignment vertical="center" wrapText="1"/>
    </xf>
    <xf numFmtId="0" fontId="14" fillId="8" borderId="1" xfId="0" applyNumberFormat="1" applyFont="1" applyFill="1" applyBorder="1" applyAlignment="1" applyProtection="1">
      <alignment vertical="center" wrapText="1"/>
    </xf>
    <xf numFmtId="0" fontId="16" fillId="10" borderId="1" xfId="0" applyFont="1" applyFill="1" applyBorder="1" applyAlignment="1">
      <alignment horizontal="left" vertical="center" wrapText="1"/>
    </xf>
    <xf numFmtId="0" fontId="17" fillId="18" borderId="1" xfId="0" applyFont="1" applyFill="1" applyBorder="1" applyAlignment="1">
      <alignment horizontal="left" vertical="center" wrapText="1"/>
    </xf>
    <xf numFmtId="0" fontId="17" fillId="19" borderId="0" xfId="0" applyFont="1" applyFill="1" applyBorder="1" applyAlignment="1">
      <alignment horizontal="left" vertical="center" wrapText="1"/>
    </xf>
    <xf numFmtId="0" fontId="17" fillId="18" borderId="5" xfId="0" applyFont="1" applyFill="1" applyBorder="1" applyAlignment="1">
      <alignment horizontal="left" vertical="center" wrapText="1"/>
    </xf>
    <xf numFmtId="0" fontId="20" fillId="8" borderId="1" xfId="0" applyFont="1" applyFill="1" applyBorder="1" applyAlignment="1">
      <alignment horizontal="left" vertical="center" wrapText="1"/>
    </xf>
    <xf numFmtId="0" fontId="20" fillId="9" borderId="1" xfId="0" applyFont="1" applyFill="1" applyBorder="1" applyAlignment="1">
      <alignment horizontal="left" vertical="center" wrapText="1"/>
    </xf>
    <xf numFmtId="0" fontId="21" fillId="9" borderId="1" xfId="0" applyFont="1" applyFill="1" applyBorder="1" applyAlignment="1">
      <alignment vertical="center" wrapText="1"/>
    </xf>
    <xf numFmtId="0" fontId="22" fillId="0" borderId="0" xfId="0" applyFont="1" applyFill="1" applyBorder="1" applyAlignment="1" applyProtection="1">
      <alignment vertical="center"/>
    </xf>
    <xf numFmtId="176" fontId="20" fillId="11" borderId="1" xfId="0" applyNumberFormat="1" applyFont="1" applyFill="1" applyBorder="1" applyAlignment="1">
      <alignment horizontal="left" vertical="center" wrapText="1"/>
    </xf>
    <xf numFmtId="0" fontId="20" fillId="18" borderId="5" xfId="0" applyFont="1" applyFill="1" applyBorder="1" applyAlignment="1">
      <alignment horizontal="left" vertical="center" wrapText="1"/>
    </xf>
    <xf numFmtId="0" fontId="2" fillId="0" borderId="0" xfId="0" applyFont="1" applyFill="1" applyBorder="1" applyAlignment="1" applyProtection="1">
      <alignment wrapText="1"/>
    </xf>
    <xf numFmtId="0" fontId="23" fillId="0" borderId="0" xfId="0" applyFont="1" applyFill="1" applyBorder="1" applyAlignment="1" applyProtection="1">
      <alignment wrapText="1"/>
    </xf>
    <xf numFmtId="0" fontId="3" fillId="0" borderId="0" xfId="0" applyFont="1" applyFill="1" applyBorder="1" applyAlignment="1">
      <alignment wrapText="1"/>
    </xf>
    <xf numFmtId="49" fontId="4" fillId="0" borderId="0" xfId="0" applyNumberFormat="1" applyFont="1" applyFill="1" applyBorder="1" applyAlignment="1" applyProtection="1">
      <alignment wrapText="1"/>
    </xf>
    <xf numFmtId="0" fontId="12" fillId="0" borderId="0" xfId="0" applyFont="1" applyFill="1" applyBorder="1" applyAlignment="1" applyProtection="1">
      <alignment wrapText="1"/>
    </xf>
    <xf numFmtId="176" fontId="4" fillId="0" borderId="0" xfId="0" applyNumberFormat="1" applyFont="1" applyFill="1" applyBorder="1" applyAlignment="1" applyProtection="1">
      <alignment wrapText="1"/>
    </xf>
    <xf numFmtId="176" fontId="5" fillId="0" borderId="0" xfId="0" applyNumberFormat="1" applyFont="1" applyFill="1" applyBorder="1" applyAlignment="1" applyProtection="1">
      <alignment wrapText="1"/>
    </xf>
    <xf numFmtId="49" fontId="7" fillId="0" borderId="0" xfId="0" applyNumberFormat="1" applyFont="1" applyFill="1" applyAlignment="1" applyProtection="1">
      <alignment horizontal="center" vertical="center" wrapText="1"/>
    </xf>
    <xf numFmtId="49" fontId="8" fillId="0" borderId="0" xfId="0" applyNumberFormat="1" applyFont="1" applyFill="1" applyBorder="1" applyAlignment="1" applyProtection="1">
      <alignment vertical="center" wrapText="1"/>
    </xf>
    <xf numFmtId="49" fontId="9" fillId="0" borderId="1" xfId="0" applyNumberFormat="1" applyFont="1" applyFill="1" applyBorder="1" applyAlignment="1" applyProtection="1">
      <alignment horizontal="center" vertical="center" wrapText="1"/>
    </xf>
    <xf numFmtId="0" fontId="11" fillId="0" borderId="1" xfId="0" applyNumberFormat="1" applyFont="1" applyFill="1" applyBorder="1" applyAlignment="1" applyProtection="1">
      <alignment horizontal="center" vertical="center" wrapText="1"/>
    </xf>
    <xf numFmtId="49" fontId="9" fillId="0" borderId="1" xfId="0" applyNumberFormat="1" applyFont="1" applyFill="1" applyBorder="1" applyAlignment="1" applyProtection="1">
      <alignment vertical="center" wrapText="1"/>
    </xf>
    <xf numFmtId="49" fontId="8" fillId="0" borderId="1" xfId="0" applyNumberFormat="1" applyFont="1" applyFill="1" applyBorder="1" applyAlignment="1" applyProtection="1">
      <alignment horizontal="center" vertical="center" wrapText="1"/>
    </xf>
    <xf numFmtId="0" fontId="12" fillId="0" borderId="1" xfId="0" applyNumberFormat="1" applyFont="1" applyFill="1" applyBorder="1" applyAlignment="1" applyProtection="1">
      <alignment horizontal="center" vertical="center" wrapText="1"/>
    </xf>
    <xf numFmtId="49" fontId="5" fillId="0" borderId="1" xfId="0" applyNumberFormat="1" applyFont="1" applyFill="1" applyBorder="1" applyAlignment="1" applyProtection="1">
      <alignment vertical="center" wrapText="1"/>
    </xf>
    <xf numFmtId="0" fontId="5" fillId="2" borderId="1" xfId="0" applyNumberFormat="1" applyFont="1" applyFill="1" applyBorder="1" applyAlignment="1" applyProtection="1">
      <alignment vertical="center" wrapText="1"/>
    </xf>
    <xf numFmtId="0" fontId="5" fillId="2" borderId="1" xfId="0" applyNumberFormat="1" applyFont="1" applyFill="1" applyBorder="1" applyAlignment="1" applyProtection="1">
      <alignment horizontal="center" vertical="center" wrapText="1"/>
    </xf>
    <xf numFmtId="0" fontId="5" fillId="0" borderId="1" xfId="0" applyNumberFormat="1" applyFont="1" applyFill="1" applyBorder="1" applyAlignment="1" applyProtection="1">
      <alignment vertical="center" wrapText="1"/>
    </xf>
    <xf numFmtId="49" fontId="10" fillId="0" borderId="1" xfId="0" applyNumberFormat="1" applyFont="1" applyFill="1" applyBorder="1" applyAlignment="1" applyProtection="1">
      <alignment horizontal="right" vertical="center" wrapText="1"/>
    </xf>
    <xf numFmtId="0" fontId="12" fillId="2" borderId="1" xfId="0" applyNumberFormat="1" applyFont="1" applyFill="1" applyBorder="1" applyAlignment="1" applyProtection="1">
      <alignment vertical="center" wrapText="1"/>
    </xf>
    <xf numFmtId="49" fontId="14" fillId="0" borderId="1" xfId="0" applyNumberFormat="1" applyFont="1" applyFill="1" applyBorder="1" applyAlignment="1" applyProtection="1">
      <alignment horizontal="right" vertical="center" wrapText="1"/>
    </xf>
    <xf numFmtId="0" fontId="24" fillId="2" borderId="1" xfId="0" applyNumberFormat="1" applyFont="1" applyFill="1" applyBorder="1" applyAlignment="1" applyProtection="1">
      <alignment vertical="center" wrapText="1"/>
    </xf>
    <xf numFmtId="0" fontId="14" fillId="5" borderId="1" xfId="0" applyNumberFormat="1" applyFont="1" applyFill="1" applyBorder="1" applyAlignment="1" applyProtection="1">
      <alignment vertical="center" wrapText="1"/>
    </xf>
    <xf numFmtId="0" fontId="14" fillId="15" borderId="1" xfId="0" applyNumberFormat="1" applyFont="1" applyFill="1" applyBorder="1" applyAlignment="1" applyProtection="1">
      <alignment vertical="center" wrapText="1"/>
    </xf>
    <xf numFmtId="0" fontId="25" fillId="2" borderId="1" xfId="0" applyFont="1" applyFill="1" applyBorder="1" applyAlignment="1">
      <alignment horizontal="left" vertical="center" wrapText="1"/>
    </xf>
    <xf numFmtId="0" fontId="24" fillId="13" borderId="1" xfId="0" applyNumberFormat="1" applyFont="1" applyFill="1" applyBorder="1" applyAlignment="1" applyProtection="1">
      <alignment horizontal="left" vertical="center" wrapText="1"/>
    </xf>
    <xf numFmtId="0" fontId="26" fillId="0" borderId="1" xfId="0" applyFont="1" applyFill="1" applyBorder="1" applyAlignment="1">
      <alignment horizontal="left" vertical="center" wrapText="1"/>
    </xf>
    <xf numFmtId="0" fontId="24" fillId="2" borderId="1" xfId="0" applyNumberFormat="1" applyFont="1" applyFill="1" applyBorder="1" applyAlignment="1" applyProtection="1">
      <alignment horizontal="left" vertical="center" wrapText="1"/>
    </xf>
    <xf numFmtId="0" fontId="26" fillId="8" borderId="1" xfId="0" applyFont="1" applyFill="1" applyBorder="1" applyAlignment="1">
      <alignment horizontal="left" vertical="center" wrapText="1"/>
    </xf>
    <xf numFmtId="0" fontId="25" fillId="10" borderId="1" xfId="0" applyFont="1" applyFill="1" applyBorder="1" applyAlignment="1">
      <alignment horizontal="left" vertical="center" wrapText="1"/>
    </xf>
    <xf numFmtId="0" fontId="25" fillId="7" borderId="1" xfId="0" applyFont="1" applyFill="1" applyBorder="1" applyAlignment="1">
      <alignment horizontal="left" vertical="center" wrapText="1"/>
    </xf>
    <xf numFmtId="176" fontId="11" fillId="20" borderId="1" xfId="0" applyNumberFormat="1" applyFont="1" applyFill="1" applyBorder="1" applyAlignment="1" applyProtection="1">
      <alignment horizontal="right" wrapText="1"/>
    </xf>
    <xf numFmtId="176" fontId="5" fillId="0" borderId="1" xfId="0" applyNumberFormat="1" applyFont="1" applyFill="1" applyBorder="1" applyAlignment="1" applyProtection="1">
      <alignment horizontal="right" wrapText="1"/>
    </xf>
    <xf numFmtId="0" fontId="20" fillId="2" borderId="1" xfId="0" applyFont="1" applyFill="1" applyBorder="1" applyAlignment="1">
      <alignment horizontal="left" vertical="center" wrapText="1"/>
    </xf>
    <xf numFmtId="0" fontId="20" fillId="18" borderId="1" xfId="0" applyFont="1" applyFill="1" applyBorder="1" applyAlignment="1">
      <alignment horizontal="left" vertical="center" wrapText="1"/>
    </xf>
    <xf numFmtId="0" fontId="17" fillId="15" borderId="1" xfId="0" applyFont="1" applyFill="1" applyBorder="1" applyAlignment="1">
      <alignment horizontal="left" vertical="center" wrapText="1"/>
    </xf>
    <xf numFmtId="0" fontId="24" fillId="13" borderId="1" xfId="0" applyNumberFormat="1" applyFont="1" applyFill="1" applyBorder="1" applyAlignment="1" applyProtection="1">
      <alignment vertical="center" wrapText="1"/>
    </xf>
    <xf numFmtId="176" fontId="27" fillId="4" borderId="1" xfId="0" applyNumberFormat="1" applyFont="1" applyFill="1" applyBorder="1" applyAlignment="1" applyProtection="1">
      <alignment horizontal="right" wrapText="1"/>
    </xf>
    <xf numFmtId="0" fontId="14" fillId="13" borderId="1" xfId="0" applyNumberFormat="1" applyFont="1" applyFill="1" applyBorder="1" applyAlignment="1" applyProtection="1">
      <alignment vertical="center" wrapText="1"/>
    </xf>
    <xf numFmtId="0" fontId="25" fillId="12" borderId="1" xfId="0" applyFont="1" applyFill="1" applyBorder="1" applyAlignment="1">
      <alignment horizontal="left" vertical="center" wrapText="1"/>
    </xf>
    <xf numFmtId="176" fontId="28" fillId="0" borderId="1" xfId="0" applyNumberFormat="1" applyFont="1" applyFill="1" applyBorder="1" applyAlignment="1" applyProtection="1">
      <alignment horizontal="right" wrapText="1"/>
    </xf>
    <xf numFmtId="176" fontId="5" fillId="9" borderId="1" xfId="0" applyNumberFormat="1" applyFont="1" applyFill="1" applyBorder="1" applyAlignment="1" applyProtection="1">
      <alignment horizontal="right" wrapText="1"/>
    </xf>
    <xf numFmtId="0" fontId="17" fillId="21" borderId="1" xfId="0" applyFont="1" applyFill="1" applyBorder="1" applyAlignment="1">
      <alignment horizontal="left" vertical="center" wrapText="1"/>
    </xf>
    <xf numFmtId="0" fontId="29" fillId="0" borderId="0" xfId="0" applyFont="1" applyFill="1" applyBorder="1" applyAlignment="1" applyProtection="1">
      <alignment wrapText="1"/>
    </xf>
    <xf numFmtId="176" fontId="5" fillId="13" borderId="1" xfId="0" applyNumberFormat="1" applyFont="1" applyFill="1" applyBorder="1" applyAlignment="1" applyProtection="1">
      <alignment horizontal="right" wrapText="1"/>
    </xf>
    <xf numFmtId="0" fontId="30" fillId="8" borderId="1" xfId="0" applyFont="1" applyFill="1" applyBorder="1" applyAlignment="1">
      <alignment vertical="center" wrapText="1"/>
    </xf>
    <xf numFmtId="176" fontId="31" fillId="0" borderId="1" xfId="0" applyNumberFormat="1" applyFont="1" applyFill="1" applyBorder="1" applyAlignment="1" applyProtection="1">
      <alignment horizontal="right" wrapText="1"/>
    </xf>
    <xf numFmtId="176" fontId="32" fillId="0" borderId="1" xfId="0" applyNumberFormat="1" applyFont="1" applyFill="1" applyBorder="1" applyAlignment="1" applyProtection="1">
      <alignment horizontal="right" wrapText="1"/>
    </xf>
    <xf numFmtId="176" fontId="32" fillId="20" borderId="1" xfId="0" applyNumberFormat="1" applyFont="1" applyFill="1" applyBorder="1" applyAlignment="1" applyProtection="1">
      <alignment horizontal="right" wrapText="1"/>
    </xf>
    <xf numFmtId="0" fontId="14" fillId="17" borderId="1" xfId="0" applyNumberFormat="1" applyFont="1" applyFill="1" applyBorder="1" applyAlignment="1" applyProtection="1">
      <alignment vertical="center" wrapText="1"/>
    </xf>
    <xf numFmtId="49" fontId="10" fillId="22" borderId="1" xfId="0" applyNumberFormat="1" applyFont="1" applyFill="1" applyBorder="1" applyAlignment="1" applyProtection="1">
      <alignment horizontal="right" vertical="center" wrapText="1"/>
    </xf>
    <xf numFmtId="0" fontId="17" fillId="13" borderId="1" xfId="0" applyFont="1" applyFill="1" applyBorder="1" applyAlignment="1">
      <alignment horizontal="left" vertical="center" wrapText="1"/>
    </xf>
    <xf numFmtId="0" fontId="17" fillId="12" borderId="0" xfId="0" applyFont="1" applyFill="1" applyBorder="1" applyAlignment="1">
      <alignment horizontal="left" vertical="center" wrapText="1"/>
    </xf>
    <xf numFmtId="0" fontId="17" fillId="10" borderId="5" xfId="0" applyFont="1" applyFill="1" applyBorder="1" applyAlignment="1">
      <alignment horizontal="left" vertical="center" wrapText="1"/>
    </xf>
    <xf numFmtId="0" fontId="17" fillId="17" borderId="1" xfId="0" applyFont="1" applyFill="1" applyBorder="1" applyAlignment="1">
      <alignment horizontal="left" vertical="center" wrapText="1"/>
    </xf>
    <xf numFmtId="49" fontId="33" fillId="8" borderId="1" xfId="0" applyNumberFormat="1" applyFont="1" applyFill="1" applyBorder="1" applyAlignment="1">
      <alignment horizontal="left" vertical="center" wrapText="1"/>
    </xf>
    <xf numFmtId="176" fontId="1" fillId="0" borderId="0" xfId="0" applyNumberFormat="1" applyFont="1" applyFill="1" applyBorder="1" applyAlignment="1" applyProtection="1"/>
    <xf numFmtId="0" fontId="34" fillId="0" borderId="0" xfId="0" applyFont="1" applyFill="1" applyBorder="1" applyAlignment="1" applyProtection="1"/>
    <xf numFmtId="0" fontId="8" fillId="0" borderId="1" xfId="0" applyFont="1" applyFill="1" applyBorder="1" applyAlignment="1" applyProtection="1">
      <alignment horizontal="center" vertical="center" wrapText="1"/>
    </xf>
    <xf numFmtId="0" fontId="8" fillId="0" borderId="1" xfId="0" applyFont="1" applyFill="1" applyBorder="1" applyAlignment="1" applyProtection="1">
      <alignment vertical="center" wrapText="1"/>
    </xf>
    <xf numFmtId="0" fontId="13" fillId="0" borderId="1" xfId="0" applyFont="1" applyFill="1" applyBorder="1" applyAlignment="1" applyProtection="1">
      <alignment horizontal="center" vertical="center" wrapText="1"/>
    </xf>
    <xf numFmtId="0" fontId="8" fillId="0" borderId="1" xfId="0" applyFont="1" applyFill="1" applyBorder="1" applyAlignment="1" applyProtection="1">
      <alignment horizontal="center" vertical="center"/>
    </xf>
    <xf numFmtId="0" fontId="35" fillId="0" borderId="1" xfId="0" applyFont="1" applyFill="1" applyBorder="1" applyAlignment="1" applyProtection="1">
      <alignment vertical="center"/>
    </xf>
    <xf numFmtId="0" fontId="35" fillId="0" borderId="1" xfId="0" applyFont="1" applyFill="1" applyBorder="1" applyAlignment="1" applyProtection="1">
      <alignment vertical="center" wrapText="1"/>
    </xf>
    <xf numFmtId="0" fontId="35" fillId="0" borderId="1" xfId="0" applyFont="1" applyFill="1" applyBorder="1" applyAlignment="1" applyProtection="1">
      <alignment horizontal="center" vertical="center" wrapText="1"/>
    </xf>
    <xf numFmtId="176" fontId="35" fillId="23" borderId="1" xfId="0" applyNumberFormat="1" applyFont="1" applyFill="1" applyBorder="1" applyAlignment="1" applyProtection="1">
      <alignment horizontal="right" vertical="center"/>
    </xf>
    <xf numFmtId="0" fontId="36" fillId="0" borderId="1" xfId="0" applyFont="1" applyFill="1" applyBorder="1" applyAlignment="1" applyProtection="1">
      <alignment vertical="center"/>
    </xf>
    <xf numFmtId="0" fontId="36" fillId="0" borderId="1" xfId="0" applyFont="1" applyFill="1" applyBorder="1" applyAlignment="1" applyProtection="1">
      <alignment vertical="center" wrapText="1"/>
    </xf>
    <xf numFmtId="0" fontId="2" fillId="0" borderId="1" xfId="0" applyFont="1" applyFill="1" applyBorder="1" applyAlignment="1" applyProtection="1">
      <alignment vertical="center"/>
    </xf>
    <xf numFmtId="0" fontId="2" fillId="0" borderId="1" xfId="0" applyFont="1" applyFill="1" applyBorder="1" applyAlignment="1" applyProtection="1">
      <alignment vertical="center" wrapText="1"/>
    </xf>
    <xf numFmtId="176" fontId="35" fillId="24" borderId="1" xfId="0" applyNumberFormat="1" applyFont="1" applyFill="1" applyBorder="1" applyAlignment="1" applyProtection="1">
      <alignment horizontal="right" vertical="center"/>
    </xf>
    <xf numFmtId="0" fontId="37" fillId="0" borderId="1" xfId="0" applyFont="1" applyFill="1" applyBorder="1" applyAlignment="1" applyProtection="1">
      <alignment vertical="center"/>
    </xf>
    <xf numFmtId="0" fontId="37" fillId="0" borderId="1" xfId="0" applyFont="1" applyFill="1" applyBorder="1" applyAlignment="1" applyProtection="1">
      <alignment vertical="center" wrapText="1"/>
    </xf>
    <xf numFmtId="0" fontId="23" fillId="0" borderId="1" xfId="0" applyFont="1" applyFill="1" applyBorder="1" applyAlignment="1" applyProtection="1">
      <alignment vertical="center"/>
    </xf>
    <xf numFmtId="177" fontId="35" fillId="0" borderId="1" xfId="0" applyNumberFormat="1" applyFont="1" applyFill="1" applyBorder="1" applyAlignment="1" applyProtection="1">
      <alignment horizontal="right" vertical="center"/>
    </xf>
    <xf numFmtId="0" fontId="17" fillId="25" borderId="1" xfId="0" applyFont="1" applyFill="1" applyBorder="1" applyAlignment="1">
      <alignment horizontal="left" vertical="center" wrapText="1"/>
    </xf>
    <xf numFmtId="176" fontId="7" fillId="0" borderId="0" xfId="0" applyNumberFormat="1" applyFont="1" applyFill="1" applyAlignment="1" applyProtection="1">
      <alignment horizontal="center" vertical="center"/>
    </xf>
    <xf numFmtId="176" fontId="13" fillId="0" borderId="1" xfId="0" applyNumberFormat="1" applyFont="1" applyFill="1" applyBorder="1" applyAlignment="1" applyProtection="1">
      <alignment horizontal="center" vertical="center" wrapText="1"/>
    </xf>
    <xf numFmtId="176" fontId="8" fillId="0" borderId="1" xfId="0" applyNumberFormat="1" applyFont="1" applyFill="1" applyBorder="1" applyAlignment="1" applyProtection="1">
      <alignment horizontal="center" vertical="center" wrapText="1"/>
    </xf>
    <xf numFmtId="176" fontId="8" fillId="0" borderId="1" xfId="0" applyNumberFormat="1" applyFont="1" applyFill="1" applyBorder="1" applyAlignment="1" applyProtection="1">
      <alignment horizontal="center" vertical="center"/>
    </xf>
    <xf numFmtId="0" fontId="14" fillId="0" borderId="1" xfId="0" applyFont="1" applyFill="1" applyBorder="1" applyAlignment="1" applyProtection="1">
      <alignment horizontal="center" vertical="center"/>
    </xf>
    <xf numFmtId="176" fontId="38" fillId="23" borderId="1" xfId="0" applyNumberFormat="1" applyFont="1" applyFill="1" applyBorder="1" applyAlignment="1" applyProtection="1">
      <alignment horizontal="right" vertical="center"/>
    </xf>
    <xf numFmtId="176" fontId="38" fillId="24" borderId="1" xfId="0" applyNumberFormat="1" applyFont="1" applyFill="1" applyBorder="1" applyAlignment="1" applyProtection="1">
      <alignment horizontal="right" vertical="center"/>
    </xf>
    <xf numFmtId="176" fontId="35" fillId="0" borderId="1" xfId="0" applyNumberFormat="1" applyFont="1" applyFill="1" applyBorder="1" applyAlignment="1" applyProtection="1">
      <alignment horizontal="right" vertical="center"/>
    </xf>
    <xf numFmtId="177" fontId="38" fillId="0" borderId="1" xfId="0" applyNumberFormat="1" applyFont="1" applyFill="1" applyBorder="1" applyAlignment="1" applyProtection="1">
      <alignment horizontal="right" vertical="center"/>
    </xf>
    <xf numFmtId="177" fontId="39" fillId="0" borderId="1" xfId="0" applyNumberFormat="1" applyFont="1" applyFill="1" applyBorder="1" applyAlignment="1" applyProtection="1">
      <alignment horizontal="left" vertical="center" wrapText="1"/>
    </xf>
    <xf numFmtId="177" fontId="39" fillId="24" borderId="1" xfId="0" applyNumberFormat="1" applyFont="1" applyFill="1" applyBorder="1" applyAlignment="1" applyProtection="1">
      <alignment horizontal="left" vertical="center" wrapText="1"/>
    </xf>
    <xf numFmtId="0" fontId="20" fillId="25" borderId="1" xfId="0" applyFont="1" applyFill="1" applyBorder="1" applyAlignment="1">
      <alignment horizontal="left" vertical="center" wrapText="1"/>
    </xf>
    <xf numFmtId="176" fontId="35" fillId="8" borderId="1" xfId="0" applyNumberFormat="1" applyFont="1" applyFill="1" applyBorder="1" applyAlignment="1" applyProtection="1">
      <alignment horizontal="right" vertical="center"/>
    </xf>
    <xf numFmtId="0" fontId="35" fillId="23" borderId="1" xfId="0" applyFont="1" applyFill="1" applyBorder="1" applyAlignment="1" applyProtection="1">
      <alignment vertical="center"/>
    </xf>
    <xf numFmtId="0" fontId="35" fillId="23" borderId="1" xfId="0" applyFont="1" applyFill="1" applyBorder="1" applyAlignment="1" applyProtection="1">
      <alignment vertical="center" wrapText="1"/>
    </xf>
    <xf numFmtId="0" fontId="35" fillId="23" borderId="1" xfId="0" applyFont="1" applyFill="1" applyBorder="1" applyAlignment="1" applyProtection="1">
      <alignment horizontal="left" vertical="center" wrapText="1"/>
    </xf>
    <xf numFmtId="0" fontId="36" fillId="24" borderId="1" xfId="0" applyFont="1" applyFill="1" applyBorder="1" applyAlignment="1" applyProtection="1">
      <alignment vertical="center"/>
    </xf>
    <xf numFmtId="0" fontId="36" fillId="24" borderId="1" xfId="0" applyFont="1" applyFill="1" applyBorder="1" applyAlignment="1" applyProtection="1">
      <alignment vertical="center" wrapText="1"/>
    </xf>
    <xf numFmtId="0" fontId="2" fillId="24" borderId="1" xfId="0" applyFont="1" applyFill="1" applyBorder="1" applyAlignment="1" applyProtection="1">
      <alignment vertical="center"/>
    </xf>
    <xf numFmtId="0" fontId="2" fillId="24" borderId="1" xfId="0" applyFont="1" applyFill="1" applyBorder="1" applyAlignment="1" applyProtection="1">
      <alignment vertical="center" wrapText="1"/>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center" wrapText="1"/>
    </xf>
    <xf numFmtId="176" fontId="1" fillId="0" borderId="0" xfId="0" applyNumberFormat="1" applyFont="1" applyFill="1" applyBorder="1" applyAlignment="1" applyProtection="1">
      <alignment wrapText="1"/>
    </xf>
    <xf numFmtId="176" fontId="3" fillId="0" borderId="0" xfId="0" applyNumberFormat="1" applyFont="1" applyFill="1" applyBorder="1" applyAlignment="1">
      <alignment wrapText="1"/>
    </xf>
    <xf numFmtId="10" fontId="3" fillId="0" borderId="0" xfId="0" applyNumberFormat="1" applyFont="1" applyFill="1" applyBorder="1" applyAlignment="1">
      <alignment wrapText="1"/>
    </xf>
    <xf numFmtId="0" fontId="7" fillId="26" borderId="0" xfId="0" applyFont="1" applyFill="1" applyAlignment="1" applyProtection="1">
      <alignment horizontal="center" vertical="center" wrapText="1"/>
    </xf>
    <xf numFmtId="0" fontId="8" fillId="26" borderId="0" xfId="0" applyFont="1" applyFill="1" applyBorder="1" applyAlignment="1" applyProtection="1">
      <alignment horizontal="center" vertical="center" wrapText="1"/>
    </xf>
    <xf numFmtId="0" fontId="1" fillId="26" borderId="0" xfId="0" applyFont="1" applyFill="1" applyBorder="1" applyAlignment="1" applyProtection="1">
      <alignment wrapText="1"/>
    </xf>
    <xf numFmtId="176" fontId="1" fillId="26" borderId="0" xfId="0" applyNumberFormat="1" applyFont="1" applyFill="1" applyBorder="1" applyAlignment="1" applyProtection="1">
      <alignment wrapText="1"/>
    </xf>
    <xf numFmtId="0" fontId="40" fillId="26" borderId="1" xfId="0" applyNumberFormat="1" applyFont="1" applyFill="1" applyBorder="1" applyAlignment="1" applyProtection="1">
      <alignment horizontal="center" vertical="center" wrapText="1"/>
    </xf>
    <xf numFmtId="176" fontId="40" fillId="26" borderId="1" xfId="0" applyNumberFormat="1" applyFont="1" applyFill="1" applyBorder="1" applyAlignment="1" applyProtection="1">
      <alignment horizontal="center" vertical="center" wrapText="1"/>
    </xf>
    <xf numFmtId="176" fontId="41" fillId="26" borderId="2" xfId="0" applyNumberFormat="1" applyFont="1" applyFill="1" applyBorder="1" applyAlignment="1" applyProtection="1">
      <alignment horizontal="center" vertical="center" wrapText="1"/>
    </xf>
    <xf numFmtId="176" fontId="41" fillId="26" borderId="3" xfId="0" applyNumberFormat="1" applyFont="1" applyFill="1" applyBorder="1" applyAlignment="1" applyProtection="1">
      <alignment horizontal="center" vertical="center" wrapText="1"/>
    </xf>
    <xf numFmtId="176" fontId="41" fillId="26" borderId="4" xfId="0" applyNumberFormat="1" applyFont="1" applyFill="1" applyBorder="1" applyAlignment="1" applyProtection="1">
      <alignment horizontal="center" vertical="center" wrapText="1"/>
    </xf>
    <xf numFmtId="0" fontId="40" fillId="26" borderId="1" xfId="0" applyNumberFormat="1" applyFont="1" applyFill="1" applyBorder="1" applyAlignment="1" applyProtection="1">
      <alignment vertical="center" wrapText="1"/>
    </xf>
    <xf numFmtId="176" fontId="36" fillId="26" borderId="1" xfId="0" applyNumberFormat="1" applyFont="1" applyFill="1" applyBorder="1" applyAlignment="1" applyProtection="1">
      <alignment horizontal="center" vertical="center" wrapText="1"/>
    </xf>
    <xf numFmtId="0" fontId="42" fillId="26" borderId="1" xfId="0" applyNumberFormat="1" applyFont="1" applyFill="1" applyBorder="1" applyAlignment="1" applyProtection="1">
      <alignment horizontal="center" vertical="center" wrapText="1"/>
    </xf>
    <xf numFmtId="0" fontId="37" fillId="26" borderId="1" xfId="0" applyNumberFormat="1" applyFont="1" applyFill="1" applyBorder="1" applyAlignment="1" applyProtection="1">
      <alignment horizontal="center" vertical="center" wrapText="1"/>
    </xf>
    <xf numFmtId="0" fontId="35" fillId="23" borderId="1" xfId="0" applyNumberFormat="1" applyFont="1" applyFill="1" applyBorder="1" applyAlignment="1" applyProtection="1">
      <alignment horizontal="center" vertical="center" wrapText="1"/>
    </xf>
    <xf numFmtId="0" fontId="38" fillId="23" borderId="1" xfId="0" applyNumberFormat="1" applyFont="1" applyFill="1" applyBorder="1" applyAlignment="1" applyProtection="1">
      <alignment vertical="center" wrapText="1"/>
    </xf>
    <xf numFmtId="176" fontId="35" fillId="23" borderId="1" xfId="0" applyNumberFormat="1" applyFont="1" applyFill="1" applyBorder="1" applyAlignment="1" applyProtection="1">
      <alignment horizontal="right" wrapText="1"/>
    </xf>
    <xf numFmtId="0" fontId="39" fillId="0" borderId="1" xfId="0" applyNumberFormat="1" applyFont="1" applyFill="1" applyBorder="1" applyAlignment="1" applyProtection="1">
      <alignment horizontal="center" vertical="center" wrapText="1"/>
    </xf>
    <xf numFmtId="0" fontId="39" fillId="0" borderId="1" xfId="0" applyNumberFormat="1" applyFont="1" applyFill="1" applyBorder="1" applyAlignment="1" applyProtection="1">
      <alignment vertical="center" wrapText="1"/>
    </xf>
    <xf numFmtId="176" fontId="35" fillId="24" borderId="1" xfId="0" applyNumberFormat="1" applyFont="1" applyFill="1" applyBorder="1" applyAlignment="1" applyProtection="1">
      <alignment horizontal="right" wrapText="1"/>
    </xf>
    <xf numFmtId="0" fontId="36" fillId="0" borderId="1" xfId="0" applyNumberFormat="1" applyFont="1" applyFill="1" applyBorder="1" applyAlignment="1" applyProtection="1">
      <alignment horizontal="center" vertical="center"/>
    </xf>
    <xf numFmtId="10" fontId="7" fillId="26" borderId="0" xfId="0" applyNumberFormat="1" applyFont="1" applyFill="1" applyAlignment="1" applyProtection="1">
      <alignment horizontal="center" vertical="center" wrapText="1"/>
    </xf>
    <xf numFmtId="10" fontId="1" fillId="26" borderId="0" xfId="0" applyNumberFormat="1" applyFont="1" applyFill="1" applyBorder="1" applyAlignment="1" applyProtection="1">
      <alignment wrapText="1"/>
    </xf>
    <xf numFmtId="10" fontId="41" fillId="26" borderId="2" xfId="0" applyNumberFormat="1" applyFont="1" applyFill="1" applyBorder="1" applyAlignment="1" applyProtection="1">
      <alignment horizontal="center" vertical="center" wrapText="1"/>
    </xf>
    <xf numFmtId="10" fontId="41" fillId="26" borderId="3" xfId="0" applyNumberFormat="1" applyFont="1" applyFill="1" applyBorder="1" applyAlignment="1" applyProtection="1">
      <alignment horizontal="center" vertical="center" wrapText="1"/>
    </xf>
    <xf numFmtId="10" fontId="41" fillId="26" borderId="4" xfId="0" applyNumberFormat="1" applyFont="1" applyFill="1" applyBorder="1" applyAlignment="1" applyProtection="1">
      <alignment horizontal="center" vertical="center" wrapText="1"/>
    </xf>
    <xf numFmtId="10" fontId="42" fillId="26" borderId="1" xfId="0" applyNumberFormat="1" applyFont="1" applyFill="1" applyBorder="1" applyAlignment="1" applyProtection="1">
      <alignment horizontal="center" vertical="center" wrapText="1"/>
    </xf>
    <xf numFmtId="10" fontId="35" fillId="23" borderId="1" xfId="0" applyNumberFormat="1" applyFont="1" applyFill="1" applyBorder="1" applyAlignment="1" applyProtection="1">
      <alignment horizontal="right" wrapText="1"/>
    </xf>
    <xf numFmtId="10" fontId="35" fillId="24" borderId="1" xfId="0" applyNumberFormat="1" applyFont="1" applyFill="1" applyBorder="1" applyAlignment="1" applyProtection="1">
      <alignment horizontal="right" wrapText="1"/>
    </xf>
    <xf numFmtId="0" fontId="8" fillId="26" borderId="0" xfId="0" applyFont="1" applyFill="1" applyBorder="1" applyAlignment="1" applyProtection="1">
      <alignment vertical="center" wrapText="1"/>
    </xf>
    <xf numFmtId="0" fontId="35" fillId="23" borderId="1" xfId="0" applyNumberFormat="1" applyFont="1" applyFill="1" applyBorder="1" applyAlignment="1" applyProtection="1">
      <alignment vertical="center" wrapText="1"/>
    </xf>
    <xf numFmtId="176" fontId="35" fillId="9" borderId="1" xfId="0" applyNumberFormat="1" applyFont="1" applyFill="1" applyBorder="1" applyAlignment="1" applyProtection="1">
      <alignment horizontal="right" wrapText="1"/>
    </xf>
    <xf numFmtId="0" fontId="43" fillId="0" borderId="0" xfId="0" applyFont="1" applyFill="1" applyBorder="1" applyAlignment="1"/>
    <xf numFmtId="0" fontId="0" fillId="0" borderId="0" xfId="0" applyAlignment="1">
      <alignment vertical="center" wrapText="1"/>
    </xf>
    <xf numFmtId="0" fontId="44" fillId="0" borderId="0" xfId="0" applyFont="1" applyFill="1" applyAlignment="1">
      <alignment horizontal="center" vertical="center" wrapText="1"/>
    </xf>
    <xf numFmtId="0" fontId="44" fillId="0" borderId="0" xfId="0" applyFont="1" applyFill="1" applyAlignment="1">
      <alignment horizontal="center" vertical="center"/>
    </xf>
    <xf numFmtId="0" fontId="43" fillId="0" borderId="0" xfId="0" applyFont="1" applyFill="1" applyBorder="1" applyAlignment="1">
      <alignment wrapText="1"/>
    </xf>
    <xf numFmtId="0" fontId="45" fillId="0" borderId="0" xfId="0" applyFont="1" applyFill="1" applyBorder="1" applyAlignment="1">
      <alignment vertical="center"/>
    </xf>
    <xf numFmtId="0" fontId="46" fillId="0" borderId="0" xfId="0" applyFont="1" applyFill="1" applyBorder="1" applyAlignment="1">
      <alignment horizontal="right" vertical="center"/>
    </xf>
    <xf numFmtId="0" fontId="43" fillId="0" borderId="0" xfId="0" applyFont="1" applyFill="1" applyBorder="1" applyAlignment="1">
      <alignment horizontal="right" vertical="center"/>
    </xf>
    <xf numFmtId="0" fontId="47" fillId="0" borderId="1" xfId="0" applyFont="1" applyFill="1" applyBorder="1" applyAlignment="1">
      <alignment horizontal="center" vertical="center" wrapText="1"/>
    </xf>
    <xf numFmtId="0" fontId="47" fillId="0" borderId="1" xfId="0" applyFont="1" applyFill="1" applyBorder="1" applyAlignment="1">
      <alignment horizontal="center" vertical="center"/>
    </xf>
    <xf numFmtId="0" fontId="48" fillId="0" borderId="1" xfId="0" applyFont="1" applyFill="1" applyBorder="1" applyAlignment="1">
      <alignment horizontal="center" vertical="center"/>
    </xf>
    <xf numFmtId="0" fontId="48" fillId="0" borderId="1" xfId="0" applyFont="1" applyFill="1" applyBorder="1" applyAlignment="1">
      <alignment horizontal="center" vertical="center" wrapText="1"/>
    </xf>
    <xf numFmtId="0" fontId="49" fillId="0" borderId="1" xfId="0" applyFont="1" applyFill="1" applyBorder="1" applyAlignment="1">
      <alignment vertical="center" wrapText="1"/>
    </xf>
    <xf numFmtId="41" fontId="32" fillId="0" borderId="1" xfId="0" applyNumberFormat="1" applyFont="1" applyFill="1" applyBorder="1" applyAlignment="1">
      <alignment horizontal="right" vertical="center"/>
    </xf>
    <xf numFmtId="0" fontId="46" fillId="0" borderId="1" xfId="0" applyFont="1" applyFill="1" applyBorder="1" applyAlignment="1">
      <alignment vertical="center"/>
    </xf>
    <xf numFmtId="0" fontId="50" fillId="0" borderId="1" xfId="0" applyFont="1" applyFill="1" applyBorder="1" applyAlignment="1">
      <alignment horizontal="center" vertical="center"/>
    </xf>
    <xf numFmtId="0" fontId="51" fillId="0" borderId="1" xfId="0" applyFont="1" applyFill="1" applyBorder="1" applyAlignment="1">
      <alignment vertical="center"/>
    </xf>
    <xf numFmtId="178" fontId="32" fillId="0" borderId="1" xfId="0" applyNumberFormat="1" applyFont="1" applyFill="1" applyBorder="1" applyAlignment="1">
      <alignment horizontal="right" vertical="center"/>
    </xf>
    <xf numFmtId="0" fontId="51" fillId="0" borderId="1" xfId="0" applyFont="1" applyFill="1" applyBorder="1" applyAlignment="1">
      <alignment horizontal="left" vertical="center" wrapText="1"/>
    </xf>
    <xf numFmtId="0" fontId="52" fillId="0" borderId="2" xfId="0" applyFont="1" applyFill="1" applyBorder="1" applyAlignment="1">
      <alignment horizontal="center" vertical="center" wrapText="1"/>
    </xf>
    <xf numFmtId="0" fontId="52" fillId="0" borderId="3" xfId="0" applyFont="1" applyFill="1" applyBorder="1" applyAlignment="1">
      <alignment horizontal="center" vertical="center"/>
    </xf>
    <xf numFmtId="0" fontId="52" fillId="0" borderId="4" xfId="0" applyFont="1" applyFill="1" applyBorder="1" applyAlignment="1">
      <alignment horizontal="center" vertical="center"/>
    </xf>
    <xf numFmtId="0" fontId="46" fillId="0" borderId="1" xfId="0" applyFont="1" applyFill="1" applyBorder="1" applyAlignment="1">
      <alignment horizontal="left" vertical="center"/>
    </xf>
    <xf numFmtId="0" fontId="43" fillId="0" borderId="0" xfId="54" applyFont="1" applyFill="1" applyBorder="1" applyAlignment="1"/>
    <xf numFmtId="0" fontId="43" fillId="0" borderId="0" xfId="66" applyFont="1" applyFill="1" applyBorder="1" applyAlignment="1">
      <alignment horizontal="center" vertical="center"/>
    </xf>
    <xf numFmtId="0" fontId="43" fillId="0" borderId="0" xfId="66" applyFont="1" applyFill="1" applyBorder="1" applyAlignment="1">
      <alignment vertical="center"/>
    </xf>
    <xf numFmtId="0" fontId="53" fillId="0" borderId="0" xfId="65" applyFont="1" applyFill="1" applyAlignment="1">
      <alignment horizontal="center" vertical="center"/>
    </xf>
    <xf numFmtId="0" fontId="45" fillId="0" borderId="0" xfId="65" applyFont="1" applyFill="1" applyBorder="1" applyAlignment="1">
      <alignment horizontal="center" vertical="center"/>
    </xf>
    <xf numFmtId="0" fontId="45" fillId="0" borderId="0" xfId="65" applyFont="1" applyFill="1" applyBorder="1" applyAlignment="1">
      <alignment vertical="center"/>
    </xf>
    <xf numFmtId="0" fontId="54" fillId="0" borderId="0" xfId="65" applyFont="1" applyFill="1" applyBorder="1" applyAlignment="1"/>
    <xf numFmtId="0" fontId="55" fillId="0" borderId="2" xfId="67" applyNumberFormat="1" applyFont="1" applyFill="1" applyBorder="1" applyAlignment="1" applyProtection="1">
      <alignment horizontal="center" vertical="center" wrapText="1"/>
    </xf>
    <xf numFmtId="0" fontId="56" fillId="0" borderId="2" xfId="67" applyNumberFormat="1" applyFont="1" applyFill="1" applyBorder="1" applyAlignment="1" applyProtection="1">
      <alignment horizontal="center" vertical="center" wrapText="1"/>
    </xf>
    <xf numFmtId="0" fontId="56" fillId="0" borderId="3" xfId="67" applyNumberFormat="1" applyFont="1" applyFill="1" applyBorder="1" applyAlignment="1" applyProtection="1">
      <alignment horizontal="center" vertical="center" wrapText="1"/>
    </xf>
    <xf numFmtId="0" fontId="56" fillId="0" borderId="4" xfId="67" applyNumberFormat="1" applyFont="1" applyFill="1" applyBorder="1" applyAlignment="1" applyProtection="1">
      <alignment horizontal="center" vertical="center" wrapText="1"/>
    </xf>
    <xf numFmtId="0" fontId="56" fillId="0" borderId="1" xfId="67" applyNumberFormat="1" applyFont="1" applyFill="1" applyBorder="1" applyAlignment="1" applyProtection="1">
      <alignment horizontal="left" vertical="center" wrapText="1"/>
    </xf>
    <xf numFmtId="0" fontId="56" fillId="0" borderId="1" xfId="67" applyNumberFormat="1" applyFont="1" applyFill="1" applyBorder="1" applyAlignment="1" applyProtection="1">
      <alignment horizontal="center" vertical="center" wrapText="1"/>
    </xf>
    <xf numFmtId="0" fontId="57" fillId="0" borderId="1" xfId="65" applyFont="1" applyFill="1" applyBorder="1" applyAlignment="1">
      <alignment horizontal="center" vertical="center"/>
    </xf>
    <xf numFmtId="41" fontId="58" fillId="0" borderId="6" xfId="65" applyNumberFormat="1" applyFont="1" applyFill="1" applyBorder="1" applyAlignment="1">
      <alignment horizontal="right" vertical="center"/>
    </xf>
    <xf numFmtId="41" fontId="58" fillId="0" borderId="1" xfId="65" applyNumberFormat="1" applyFont="1" applyFill="1" applyBorder="1" applyAlignment="1">
      <alignment horizontal="right" vertical="center"/>
    </xf>
    <xf numFmtId="0" fontId="48" fillId="0" borderId="0" xfId="66" applyFont="1" applyFill="1" applyBorder="1" applyAlignment="1">
      <alignment vertical="center"/>
    </xf>
    <xf numFmtId="0" fontId="48" fillId="0" borderId="0" xfId="54" applyFont="1" applyFill="1" applyBorder="1" applyAlignment="1"/>
    <xf numFmtId="179" fontId="43" fillId="0" borderId="0" xfId="3" applyNumberFormat="1" applyFont="1" applyFill="1" applyBorder="1" applyAlignment="1" applyProtection="1"/>
    <xf numFmtId="0" fontId="46" fillId="0" borderId="0" xfId="54" applyFont="1" applyFill="1" applyBorder="1" applyAlignment="1">
      <alignment horizontal="right" vertical="center"/>
    </xf>
    <xf numFmtId="178" fontId="58" fillId="0" borderId="1" xfId="65" applyNumberFormat="1" applyFont="1" applyFill="1" applyBorder="1" applyAlignment="1">
      <alignment horizontal="right" vertical="center"/>
    </xf>
    <xf numFmtId="0" fontId="53" fillId="0" borderId="0" xfId="65" applyFont="1" applyFill="1" applyBorder="1" applyAlignment="1">
      <alignment horizontal="center" vertical="center"/>
    </xf>
    <xf numFmtId="0" fontId="43" fillId="0" borderId="0" xfId="54" applyFont="1" applyFill="1" applyBorder="1" applyAlignment="1">
      <alignment horizontal="right" vertical="center"/>
    </xf>
    <xf numFmtId="0" fontId="59" fillId="0" borderId="2" xfId="67" applyNumberFormat="1" applyFont="1" applyFill="1" applyBorder="1" applyAlignment="1" applyProtection="1">
      <alignment horizontal="center" vertical="center" wrapText="1"/>
    </xf>
    <xf numFmtId="0" fontId="59" fillId="0" borderId="7" xfId="67" applyNumberFormat="1" applyFont="1" applyFill="1" applyBorder="1" applyAlignment="1" applyProtection="1">
      <alignment horizontal="center" vertical="center" wrapText="1"/>
    </xf>
    <xf numFmtId="0" fontId="59" fillId="0" borderId="8" xfId="67" applyNumberFormat="1" applyFont="1" applyFill="1" applyBorder="1" applyAlignment="1" applyProtection="1">
      <alignment horizontal="center" vertical="center" wrapText="1"/>
    </xf>
    <xf numFmtId="0" fontId="59" fillId="0" borderId="9" xfId="67" applyNumberFormat="1" applyFont="1" applyFill="1" applyBorder="1" applyAlignment="1" applyProtection="1">
      <alignment horizontal="center" vertical="center" wrapText="1"/>
    </xf>
    <xf numFmtId="0" fontId="59" fillId="0" borderId="1" xfId="67" applyNumberFormat="1" applyFont="1" applyFill="1" applyBorder="1" applyAlignment="1" applyProtection="1">
      <alignment horizontal="center" vertical="center" wrapText="1"/>
    </xf>
    <xf numFmtId="0" fontId="57" fillId="0" borderId="9" xfId="67" applyNumberFormat="1" applyFont="1" applyFill="1" applyBorder="1" applyAlignment="1" applyProtection="1">
      <alignment horizontal="center" vertical="center" wrapText="1"/>
    </xf>
    <xf numFmtId="0" fontId="57" fillId="0" borderId="1" xfId="67" applyNumberFormat="1" applyFont="1" applyFill="1" applyBorder="1" applyAlignment="1" applyProtection="1">
      <alignment horizontal="center" vertical="center" wrapText="1"/>
    </xf>
    <xf numFmtId="0" fontId="59" fillId="0" borderId="6" xfId="67" applyNumberFormat="1" applyFont="1" applyFill="1" applyBorder="1" applyAlignment="1" applyProtection="1">
      <alignment horizontal="center" vertical="center" wrapText="1"/>
    </xf>
    <xf numFmtId="0" fontId="57" fillId="0" borderId="10" xfId="67" applyNumberFormat="1" applyFont="1" applyFill="1" applyBorder="1" applyAlignment="1" applyProtection="1">
      <alignment horizontal="center" vertical="center" wrapText="1"/>
    </xf>
    <xf numFmtId="41" fontId="57" fillId="0" borderId="1" xfId="65" applyNumberFormat="1" applyFont="1" applyFill="1" applyBorder="1" applyAlignment="1">
      <alignment horizontal="right" vertical="center"/>
    </xf>
    <xf numFmtId="0" fontId="57" fillId="0" borderId="11" xfId="65" applyFont="1" applyFill="1" applyBorder="1" applyAlignment="1">
      <alignment horizontal="left" vertical="center" wrapText="1"/>
    </xf>
    <xf numFmtId="0" fontId="60" fillId="0" borderId="1" xfId="65" applyFont="1" applyFill="1" applyBorder="1" applyAlignment="1">
      <alignment horizontal="center" vertical="center"/>
    </xf>
    <xf numFmtId="0" fontId="57" fillId="0" borderId="12" xfId="65" applyFont="1" applyFill="1" applyBorder="1" applyAlignment="1">
      <alignment horizontal="left" vertical="center" wrapText="1"/>
    </xf>
    <xf numFmtId="0" fontId="57" fillId="0" borderId="6" xfId="65" applyFont="1" applyFill="1" applyBorder="1" applyAlignment="1">
      <alignment horizontal="left" vertical="center" wrapText="1"/>
    </xf>
    <xf numFmtId="0" fontId="61" fillId="0" borderId="0" xfId="0" applyFont="1" applyAlignment="1">
      <alignment horizontal="center" vertical="center"/>
    </xf>
    <xf numFmtId="0" fontId="62" fillId="0" borderId="0" xfId="0" applyFont="1" applyAlignment="1">
      <alignment horizontal="left" vertical="center"/>
    </xf>
    <xf numFmtId="0" fontId="63" fillId="0" borderId="0" xfId="0" applyFont="1" applyAlignment="1">
      <alignment vertical="center"/>
    </xf>
    <xf numFmtId="0" fontId="64" fillId="0" borderId="1" xfId="0" applyFont="1" applyBorder="1" applyAlignment="1">
      <alignment horizontal="center" vertical="center"/>
    </xf>
    <xf numFmtId="0" fontId="64" fillId="0" borderId="1" xfId="0" applyFont="1" applyBorder="1" applyAlignment="1">
      <alignment horizontal="center" vertical="center" wrapText="1"/>
    </xf>
    <xf numFmtId="0" fontId="65" fillId="0" borderId="1" xfId="0" applyFont="1" applyBorder="1">
      <alignment vertical="center"/>
    </xf>
    <xf numFmtId="0" fontId="62" fillId="0" borderId="1" xfId="0" applyFont="1" applyBorder="1" applyAlignment="1">
      <alignment horizontal="center" vertical="center"/>
    </xf>
    <xf numFmtId="0" fontId="65" fillId="0" borderId="1" xfId="0" applyFont="1" applyBorder="1" applyAlignment="1">
      <alignment vertical="center" wrapText="1"/>
    </xf>
    <xf numFmtId="0" fontId="62" fillId="0" borderId="1" xfId="0" applyFont="1" applyBorder="1">
      <alignment vertical="center"/>
    </xf>
    <xf numFmtId="0" fontId="8" fillId="0" borderId="0" xfId="68" applyFont="1" applyFill="1" applyBorder="1" applyAlignment="1">
      <alignment vertical="center"/>
    </xf>
    <xf numFmtId="0" fontId="13" fillId="0" borderId="0" xfId="68" applyFont="1" applyFill="1" applyBorder="1" applyAlignment="1">
      <alignment vertical="center"/>
    </xf>
    <xf numFmtId="0" fontId="19" fillId="0" borderId="0" xfId="68" applyFont="1" applyFill="1" applyBorder="1" applyAlignment="1">
      <alignment vertical="center"/>
    </xf>
    <xf numFmtId="0" fontId="8" fillId="0" borderId="0" xfId="68" applyFont="1" applyFill="1" applyBorder="1" applyAlignment="1">
      <alignment vertical="center" wrapText="1"/>
    </xf>
    <xf numFmtId="0" fontId="66" fillId="0" borderId="0" xfId="68" applyFont="1" applyFill="1" applyBorder="1" applyAlignment="1">
      <alignment vertical="center"/>
    </xf>
    <xf numFmtId="0" fontId="67" fillId="0" borderId="0" xfId="68" applyFont="1" applyFill="1" applyAlignment="1">
      <alignment horizontal="center" vertical="center" wrapText="1"/>
    </xf>
    <xf numFmtId="0" fontId="68" fillId="0" borderId="0" xfId="68" applyFont="1" applyFill="1" applyBorder="1" applyAlignment="1">
      <alignment vertical="center" wrapText="1"/>
    </xf>
    <xf numFmtId="0" fontId="69" fillId="0" borderId="0" xfId="68" applyFont="1" applyFill="1" applyBorder="1" applyAlignment="1">
      <alignment vertical="center"/>
    </xf>
    <xf numFmtId="0" fontId="13" fillId="0" borderId="0" xfId="68" applyFont="1" applyFill="1" applyBorder="1" applyAlignment="1">
      <alignment vertical="center" wrapText="1"/>
    </xf>
    <xf numFmtId="0" fontId="13" fillId="0" borderId="0" xfId="68" applyFont="1" applyFill="1" applyBorder="1" applyAlignment="1">
      <alignment horizontal="right" vertical="center"/>
    </xf>
    <xf numFmtId="0" fontId="70" fillId="0" borderId="1" xfId="68" applyFont="1" applyFill="1" applyBorder="1" applyAlignment="1">
      <alignment horizontal="center" vertical="center" wrapText="1"/>
    </xf>
    <xf numFmtId="0" fontId="70" fillId="0" borderId="1" xfId="68" applyFont="1" applyFill="1" applyBorder="1" applyAlignment="1">
      <alignment horizontal="center" vertical="center"/>
    </xf>
    <xf numFmtId="0" fontId="71" fillId="0" borderId="1" xfId="68" applyFont="1" applyFill="1" applyBorder="1" applyAlignment="1">
      <alignment horizontal="center" vertical="center" wrapText="1"/>
    </xf>
    <xf numFmtId="0" fontId="72" fillId="0" borderId="1" xfId="68" applyFont="1" applyFill="1" applyBorder="1" applyAlignment="1">
      <alignment horizontal="center" vertical="center" wrapText="1"/>
    </xf>
    <xf numFmtId="0" fontId="73" fillId="0" borderId="1" xfId="68" applyFont="1" applyFill="1" applyBorder="1" applyAlignment="1">
      <alignment horizontal="center" vertical="center" wrapText="1"/>
    </xf>
    <xf numFmtId="0" fontId="74" fillId="0" borderId="1" xfId="68" applyFont="1" applyFill="1" applyBorder="1" applyAlignment="1">
      <alignment horizontal="center" vertical="center" wrapText="1"/>
    </xf>
    <xf numFmtId="3" fontId="52" fillId="0" borderId="1" xfId="0" applyNumberFormat="1" applyFont="1" applyFill="1" applyBorder="1" applyAlignment="1" applyProtection="1">
      <alignment vertical="center" wrapText="1"/>
    </xf>
    <xf numFmtId="3" fontId="75" fillId="0" borderId="1" xfId="0" applyNumberFormat="1" applyFont="1" applyFill="1" applyBorder="1" applyAlignment="1" applyProtection="1">
      <alignment vertical="center"/>
    </xf>
    <xf numFmtId="180" fontId="76" fillId="0" borderId="1" xfId="1" applyNumberFormat="1" applyFont="1" applyFill="1" applyBorder="1" applyAlignment="1">
      <alignment vertical="center"/>
    </xf>
    <xf numFmtId="3" fontId="51" fillId="0" borderId="1" xfId="0" applyNumberFormat="1" applyFont="1" applyFill="1" applyBorder="1" applyAlignment="1" applyProtection="1">
      <alignment vertical="center" wrapText="1"/>
    </xf>
    <xf numFmtId="0" fontId="46" fillId="0" borderId="1" xfId="0" applyFont="1" applyFill="1" applyBorder="1" applyAlignment="1">
      <alignment horizontal="left" vertical="center" wrapText="1"/>
    </xf>
    <xf numFmtId="0" fontId="12" fillId="0" borderId="1" xfId="68" applyFont="1" applyFill="1" applyBorder="1" applyAlignment="1">
      <alignment vertical="center"/>
    </xf>
    <xf numFmtId="0" fontId="46" fillId="0" borderId="1" xfId="0" applyFont="1" applyFill="1" applyBorder="1" applyAlignment="1">
      <alignment vertical="center" wrapText="1"/>
    </xf>
    <xf numFmtId="0" fontId="75" fillId="0" borderId="1" xfId="0" applyFont="1" applyFill="1" applyBorder="1" applyAlignment="1">
      <alignment vertical="center"/>
    </xf>
    <xf numFmtId="0" fontId="13" fillId="0" borderId="1" xfId="0" applyFont="1" applyFill="1" applyBorder="1" applyAlignment="1">
      <alignment horizontal="left" vertical="center" wrapText="1"/>
    </xf>
    <xf numFmtId="41" fontId="75" fillId="0" borderId="1" xfId="4" applyNumberFormat="1" applyFont="1" applyFill="1" applyBorder="1" applyAlignment="1">
      <alignment vertical="center"/>
    </xf>
    <xf numFmtId="41" fontId="76" fillId="0" borderId="1" xfId="4" applyNumberFormat="1" applyFont="1" applyFill="1" applyBorder="1" applyAlignment="1">
      <alignment vertical="center"/>
    </xf>
    <xf numFmtId="0" fontId="76" fillId="0" borderId="1" xfId="0" applyFont="1" applyFill="1" applyBorder="1" applyAlignment="1">
      <alignment horizontal="left" vertical="center"/>
    </xf>
    <xf numFmtId="181" fontId="76" fillId="0" borderId="1" xfId="1" applyNumberFormat="1" applyFont="1" applyFill="1" applyBorder="1" applyAlignment="1">
      <alignment vertical="center"/>
    </xf>
    <xf numFmtId="180" fontId="75" fillId="0" borderId="1" xfId="1" applyNumberFormat="1" applyFont="1" applyFill="1" applyBorder="1" applyAlignment="1" applyProtection="1">
      <alignment vertical="center"/>
    </xf>
    <xf numFmtId="180" fontId="76" fillId="0" borderId="1" xfId="1" applyNumberFormat="1" applyFont="1" applyFill="1" applyBorder="1" applyAlignment="1" applyProtection="1">
      <alignment vertical="center"/>
    </xf>
    <xf numFmtId="0" fontId="13" fillId="0" borderId="1" xfId="0" applyFont="1" applyFill="1" applyBorder="1" applyAlignment="1">
      <alignment vertical="center" wrapText="1"/>
    </xf>
    <xf numFmtId="180" fontId="75" fillId="0" borderId="1" xfId="1" applyNumberFormat="1" applyFont="1" applyFill="1" applyBorder="1" applyAlignment="1">
      <alignment vertical="center"/>
    </xf>
    <xf numFmtId="41" fontId="77" fillId="0" borderId="1" xfId="4" applyNumberFormat="1" applyFont="1" applyFill="1" applyBorder="1" applyAlignment="1">
      <alignment vertical="center"/>
    </xf>
    <xf numFmtId="3" fontId="76" fillId="0" borderId="1" xfId="0" applyNumberFormat="1" applyFont="1" applyFill="1" applyBorder="1" applyAlignment="1" applyProtection="1">
      <alignment vertical="center"/>
    </xf>
    <xf numFmtId="180" fontId="12" fillId="0" borderId="1" xfId="1" applyNumberFormat="1" applyFont="1" applyFill="1" applyBorder="1" applyAlignment="1" applyProtection="1">
      <alignment vertical="center"/>
    </xf>
    <xf numFmtId="0" fontId="8" fillId="0" borderId="1" xfId="68" applyFont="1" applyFill="1" applyBorder="1" applyAlignment="1">
      <alignment vertical="center" wrapText="1"/>
    </xf>
    <xf numFmtId="0" fontId="75" fillId="0" borderId="1" xfId="68" applyFont="1" applyFill="1" applyBorder="1" applyAlignment="1">
      <alignment vertical="center"/>
    </xf>
    <xf numFmtId="180" fontId="12" fillId="0" borderId="1" xfId="1" applyNumberFormat="1" applyFont="1" applyFill="1" applyBorder="1" applyAlignment="1">
      <alignment vertical="center"/>
    </xf>
    <xf numFmtId="182" fontId="12" fillId="0" borderId="1" xfId="1" applyNumberFormat="1" applyFont="1" applyFill="1" applyBorder="1" applyAlignment="1">
      <alignment vertical="center"/>
    </xf>
    <xf numFmtId="0" fontId="52" fillId="0" borderId="1" xfId="0" applyFont="1" applyFill="1" applyBorder="1" applyAlignment="1">
      <alignment horizontal="left" vertical="center" wrapText="1"/>
    </xf>
    <xf numFmtId="0" fontId="76" fillId="0" borderId="1" xfId="0" applyFont="1" applyFill="1" applyBorder="1" applyAlignment="1">
      <alignment vertical="center"/>
    </xf>
    <xf numFmtId="0" fontId="46" fillId="27" borderId="1" xfId="0" applyNumberFormat="1" applyFont="1" applyFill="1" applyBorder="1" applyAlignment="1" applyProtection="1">
      <alignment horizontal="left" vertical="center" wrapText="1"/>
    </xf>
    <xf numFmtId="178" fontId="12" fillId="0" borderId="1" xfId="1" applyNumberFormat="1" applyFont="1" applyFill="1" applyBorder="1" applyAlignment="1">
      <alignment horizontal="right" vertical="center"/>
    </xf>
    <xf numFmtId="182" fontId="12" fillId="8" borderId="1" xfId="1" applyNumberFormat="1" applyFont="1" applyFill="1" applyBorder="1" applyAlignment="1">
      <alignment vertical="center"/>
    </xf>
    <xf numFmtId="0" fontId="52" fillId="27" borderId="1" xfId="0" applyNumberFormat="1" applyFont="1" applyFill="1" applyBorder="1" applyAlignment="1" applyProtection="1">
      <alignment horizontal="left" vertical="center" wrapText="1"/>
    </xf>
    <xf numFmtId="0" fontId="52" fillId="0" borderId="1" xfId="0" applyFont="1" applyFill="1" applyBorder="1" applyAlignment="1">
      <alignment horizontal="center" vertical="center" wrapText="1"/>
    </xf>
    <xf numFmtId="0" fontId="52" fillId="0" borderId="1" xfId="0" applyFont="1" applyFill="1" applyBorder="1" applyAlignment="1">
      <alignment vertical="center" wrapText="1"/>
    </xf>
    <xf numFmtId="0" fontId="31" fillId="0" borderId="1" xfId="0" applyFont="1" applyFill="1" applyBorder="1" applyAlignment="1">
      <alignment vertical="center" wrapText="1"/>
    </xf>
    <xf numFmtId="0" fontId="52" fillId="0" borderId="1" xfId="63" applyFont="1" applyFill="1" applyBorder="1" applyAlignment="1" applyProtection="1">
      <alignment vertical="center" wrapText="1"/>
      <protection locked="0"/>
    </xf>
    <xf numFmtId="180" fontId="75" fillId="8" borderId="1" xfId="1" applyNumberFormat="1" applyFont="1" applyFill="1" applyBorder="1" applyAlignment="1">
      <alignment vertical="center"/>
    </xf>
    <xf numFmtId="0" fontId="12" fillId="8" borderId="1" xfId="68" applyFont="1" applyFill="1" applyBorder="1" applyAlignment="1">
      <alignment vertical="center"/>
    </xf>
    <xf numFmtId="0" fontId="78" fillId="0" borderId="0" xfId="0" applyFont="1" applyFill="1" applyBorder="1" applyAlignment="1"/>
    <xf numFmtId="0" fontId="79" fillId="0" borderId="0" xfId="0" applyFont="1" applyFill="1" applyBorder="1" applyAlignment="1"/>
    <xf numFmtId="0" fontId="65" fillId="0" borderId="0" xfId="0" applyFont="1">
      <alignment vertical="center"/>
    </xf>
    <xf numFmtId="0" fontId="80" fillId="0" borderId="0" xfId="0" applyFont="1" applyFill="1" applyBorder="1" applyAlignment="1"/>
    <xf numFmtId="0" fontId="44" fillId="0" borderId="0" xfId="0" applyFont="1" applyFill="1" applyAlignment="1">
      <alignment horizontal="center"/>
    </xf>
    <xf numFmtId="0" fontId="79" fillId="0" borderId="0" xfId="0" applyFont="1" applyFill="1" applyBorder="1" applyAlignment="1">
      <alignment horizontal="right"/>
    </xf>
    <xf numFmtId="176" fontId="79" fillId="0" borderId="0" xfId="0" applyNumberFormat="1" applyFont="1" applyFill="1" applyBorder="1" applyAlignment="1"/>
    <xf numFmtId="176" fontId="51" fillId="0" borderId="0" xfId="0" applyNumberFormat="1" applyFont="1" applyFill="1" applyBorder="1" applyAlignment="1">
      <alignment horizontal="right" vertical="center" wrapText="1"/>
    </xf>
    <xf numFmtId="0" fontId="51" fillId="0" borderId="1" xfId="0" applyFont="1" applyFill="1" applyBorder="1" applyAlignment="1">
      <alignment horizontal="center" vertical="center" wrapText="1"/>
    </xf>
    <xf numFmtId="176" fontId="51" fillId="0" borderId="1" xfId="0" applyNumberFormat="1" applyFont="1" applyFill="1" applyBorder="1" applyAlignment="1" applyProtection="1">
      <alignment horizontal="center" vertical="center" wrapText="1"/>
    </xf>
    <xf numFmtId="176" fontId="51" fillId="0" borderId="1" xfId="0" applyNumberFormat="1" applyFont="1" applyFill="1" applyBorder="1" applyAlignment="1">
      <alignment horizontal="center" vertical="center" wrapText="1"/>
    </xf>
    <xf numFmtId="0" fontId="51" fillId="0" borderId="1" xfId="0" applyFont="1" applyFill="1" applyBorder="1" applyAlignment="1">
      <alignment horizontal="left" vertical="center"/>
    </xf>
    <xf numFmtId="0" fontId="51" fillId="0" borderId="1" xfId="0" applyFont="1" applyFill="1" applyBorder="1" applyAlignment="1">
      <alignment horizontal="center" vertical="center"/>
    </xf>
    <xf numFmtId="176" fontId="76" fillId="0" borderId="1" xfId="0" applyNumberFormat="1" applyFont="1" applyFill="1" applyBorder="1" applyAlignment="1">
      <alignment horizontal="right" vertical="center"/>
    </xf>
    <xf numFmtId="176" fontId="81" fillId="0" borderId="1" xfId="0" applyNumberFormat="1" applyFont="1" applyFill="1" applyBorder="1" applyAlignment="1">
      <alignment horizontal="left" vertical="center" wrapText="1"/>
    </xf>
    <xf numFmtId="0" fontId="51" fillId="28" borderId="1" xfId="0" applyFont="1" applyFill="1" applyBorder="1" applyAlignment="1">
      <alignment horizontal="left" vertical="center"/>
    </xf>
    <xf numFmtId="0" fontId="51" fillId="28" borderId="1" xfId="0" applyFont="1" applyFill="1" applyBorder="1" applyAlignment="1">
      <alignment horizontal="center" vertical="center"/>
    </xf>
    <xf numFmtId="176" fontId="76" fillId="28" borderId="1" xfId="0" applyNumberFormat="1" applyFont="1" applyFill="1" applyBorder="1" applyAlignment="1">
      <alignment horizontal="right" vertical="center"/>
    </xf>
    <xf numFmtId="176" fontId="81" fillId="28" borderId="1" xfId="0" applyNumberFormat="1" applyFont="1" applyFill="1" applyBorder="1" applyAlignment="1">
      <alignment horizontal="left" vertical="center" wrapText="1"/>
    </xf>
    <xf numFmtId="49" fontId="46" fillId="27" borderId="1" xfId="0" applyNumberFormat="1" applyFont="1" applyFill="1" applyBorder="1" applyAlignment="1" applyProtection="1">
      <alignment horizontal="left" vertical="center" wrapText="1"/>
    </xf>
    <xf numFmtId="49" fontId="46" fillId="9" borderId="1" xfId="0" applyNumberFormat="1" applyFont="1" applyFill="1" applyBorder="1" applyAlignment="1" applyProtection="1">
      <alignment vertical="center" wrapText="1"/>
    </xf>
    <xf numFmtId="176" fontId="81" fillId="0" borderId="1" xfId="0" applyNumberFormat="1" applyFont="1" applyFill="1" applyBorder="1" applyAlignment="1" applyProtection="1">
      <alignment horizontal="left" vertical="center" wrapText="1"/>
    </xf>
    <xf numFmtId="49" fontId="46" fillId="9" borderId="1" xfId="0" applyNumberFormat="1" applyFont="1" applyFill="1" applyBorder="1" applyAlignment="1" applyProtection="1">
      <alignment horizontal="left" vertical="center" wrapText="1"/>
    </xf>
    <xf numFmtId="176" fontId="76" fillId="29" borderId="1" xfId="0" applyNumberFormat="1" applyFont="1" applyFill="1" applyBorder="1" applyAlignment="1">
      <alignment horizontal="right" vertical="center"/>
    </xf>
    <xf numFmtId="176" fontId="81" fillId="0" borderId="1" xfId="0" applyNumberFormat="1" applyFont="1" applyFill="1" applyBorder="1" applyAlignment="1" applyProtection="1">
      <alignment vertical="center" wrapText="1"/>
    </xf>
    <xf numFmtId="176" fontId="76" fillId="30" borderId="1" xfId="0" applyNumberFormat="1" applyFont="1" applyFill="1" applyBorder="1" applyAlignment="1">
      <alignment horizontal="right" vertical="center"/>
    </xf>
    <xf numFmtId="176" fontId="76" fillId="31" borderId="1" xfId="0" applyNumberFormat="1" applyFont="1" applyFill="1" applyBorder="1" applyAlignment="1">
      <alignment horizontal="right" vertical="center"/>
    </xf>
    <xf numFmtId="49" fontId="46" fillId="0" borderId="1" xfId="0" applyNumberFormat="1" applyFont="1" applyFill="1" applyBorder="1" applyAlignment="1" applyProtection="1">
      <alignment vertical="center" wrapText="1"/>
    </xf>
    <xf numFmtId="49" fontId="46" fillId="0" borderId="1" xfId="0" applyNumberFormat="1" applyFont="1" applyFill="1" applyBorder="1" applyAlignment="1" applyProtection="1">
      <alignment horizontal="left" vertical="center" wrapText="1"/>
    </xf>
    <xf numFmtId="0" fontId="82" fillId="0" borderId="0" xfId="0" applyFont="1" applyFill="1" applyBorder="1" applyAlignment="1" applyProtection="1"/>
    <xf numFmtId="0" fontId="29" fillId="0" borderId="0" xfId="0" applyFont="1" applyFill="1" applyBorder="1" applyAlignment="1" applyProtection="1"/>
    <xf numFmtId="0" fontId="83" fillId="0" borderId="1" xfId="0" applyFont="1" applyFill="1" applyBorder="1" applyAlignment="1" applyProtection="1">
      <alignment horizontal="center" vertical="center" wrapText="1"/>
    </xf>
    <xf numFmtId="183" fontId="35" fillId="0" borderId="1" xfId="0" applyNumberFormat="1" applyFont="1" applyFill="1" applyBorder="1" applyAlignment="1" applyProtection="1">
      <alignment horizontal="center" vertical="center" wrapText="1"/>
    </xf>
    <xf numFmtId="183" fontId="41" fillId="0" borderId="3" xfId="0" applyNumberFormat="1" applyFont="1" applyFill="1" applyBorder="1" applyAlignment="1" applyProtection="1">
      <alignment horizontal="center" vertical="center" wrapText="1"/>
    </xf>
    <xf numFmtId="183" fontId="35" fillId="0" borderId="3" xfId="0" applyNumberFormat="1" applyFont="1" applyFill="1" applyBorder="1" applyAlignment="1" applyProtection="1">
      <alignment horizontal="center" vertical="center" wrapText="1"/>
    </xf>
    <xf numFmtId="0" fontId="35" fillId="0" borderId="1" xfId="0" applyFont="1" applyFill="1" applyBorder="1" applyAlignment="1" applyProtection="1">
      <alignment horizontal="center" vertical="center"/>
    </xf>
    <xf numFmtId="0" fontId="2" fillId="0" borderId="2" xfId="0" applyFont="1" applyFill="1" applyBorder="1" applyAlignment="1" applyProtection="1">
      <alignment horizontal="center" vertical="center"/>
    </xf>
    <xf numFmtId="183" fontId="2" fillId="0" borderId="2" xfId="0" applyNumberFormat="1" applyFont="1" applyFill="1" applyBorder="1" applyAlignment="1" applyProtection="1">
      <alignment horizontal="center" vertical="center"/>
    </xf>
    <xf numFmtId="183" fontId="84" fillId="0" borderId="2" xfId="0" applyNumberFormat="1" applyFont="1" applyFill="1" applyBorder="1" applyAlignment="1" applyProtection="1">
      <alignment horizontal="center" vertical="center"/>
    </xf>
    <xf numFmtId="183" fontId="84" fillId="0" borderId="2" xfId="0" applyNumberFormat="1" applyFont="1" applyFill="1" applyBorder="1" applyAlignment="1" applyProtection="1">
      <alignment horizontal="center" vertical="center" wrapText="1"/>
    </xf>
    <xf numFmtId="0" fontId="41" fillId="0" borderId="1" xfId="0" applyFont="1" applyFill="1" applyBorder="1" applyAlignment="1" applyProtection="1">
      <alignment vertical="center"/>
    </xf>
    <xf numFmtId="43" fontId="38" fillId="28" borderId="1" xfId="0" applyNumberFormat="1" applyFont="1" applyFill="1" applyBorder="1" applyAlignment="1" applyProtection="1">
      <alignment horizontal="right" vertical="center"/>
    </xf>
    <xf numFmtId="43" fontId="38" fillId="23" borderId="1" xfId="0" applyNumberFormat="1" applyFont="1" applyFill="1" applyBorder="1" applyAlignment="1" applyProtection="1">
      <alignment horizontal="right" vertical="center"/>
    </xf>
    <xf numFmtId="0" fontId="85" fillId="0" borderId="1" xfId="0" applyFont="1" applyFill="1" applyBorder="1" applyAlignment="1" applyProtection="1">
      <alignment vertical="center"/>
    </xf>
    <xf numFmtId="0" fontId="41" fillId="0" borderId="1" xfId="0" applyFont="1" applyFill="1" applyBorder="1" applyAlignment="1" applyProtection="1">
      <alignment horizontal="center" vertical="center"/>
    </xf>
    <xf numFmtId="41" fontId="68" fillId="0" borderId="0" xfId="0" applyNumberFormat="1" applyFont="1" applyFill="1" applyAlignment="1">
      <alignment horizontal="right"/>
    </xf>
    <xf numFmtId="0" fontId="2" fillId="0" borderId="1" xfId="0" applyFont="1" applyFill="1" applyBorder="1" applyAlignment="1" applyProtection="1">
      <alignment horizontal="center" vertical="center"/>
    </xf>
    <xf numFmtId="183" fontId="2" fillId="0" borderId="1" xfId="0" applyNumberFormat="1" applyFont="1" applyFill="1" applyBorder="1" applyAlignment="1" applyProtection="1">
      <alignment horizontal="center" vertical="center"/>
    </xf>
    <xf numFmtId="183" fontId="1" fillId="0" borderId="0" xfId="0" applyNumberFormat="1" applyFont="1" applyFill="1" applyBorder="1" applyAlignment="1" applyProtection="1"/>
    <xf numFmtId="0" fontId="43" fillId="0" borderId="0" xfId="0" applyFont="1" applyFill="1" applyAlignment="1"/>
    <xf numFmtId="184" fontId="48" fillId="0" borderId="0" xfId="0" applyNumberFormat="1" applyFont="1" applyFill="1" applyAlignment="1" applyProtection="1">
      <alignment vertical="center" wrapText="1"/>
      <protection locked="0"/>
    </xf>
    <xf numFmtId="184" fontId="46" fillId="0" borderId="0" xfId="0" applyNumberFormat="1" applyFont="1" applyFill="1" applyAlignment="1" applyProtection="1">
      <alignment vertical="center" wrapText="1"/>
      <protection locked="0"/>
    </xf>
    <xf numFmtId="184" fontId="86" fillId="0" borderId="0" xfId="0" applyNumberFormat="1" applyFont="1" applyFill="1" applyAlignment="1" applyProtection="1">
      <alignment vertical="center" wrapText="1"/>
      <protection locked="0"/>
    </xf>
    <xf numFmtId="0" fontId="46" fillId="0" borderId="0" xfId="0" applyFont="1" applyFill="1" applyAlignment="1" applyProtection="1">
      <alignment vertical="center" wrapText="1"/>
      <protection locked="0"/>
    </xf>
    <xf numFmtId="0" fontId="43" fillId="0" borderId="0" xfId="0" applyFont="1" applyFill="1" applyAlignment="1" applyProtection="1">
      <protection locked="0"/>
    </xf>
    <xf numFmtId="184" fontId="46" fillId="0" borderId="0" xfId="0" applyNumberFormat="1" applyFont="1" applyFill="1" applyBorder="1" applyAlignment="1">
      <alignment vertical="center" wrapText="1"/>
    </xf>
    <xf numFmtId="178" fontId="43" fillId="0" borderId="0" xfId="0" applyNumberFormat="1" applyFont="1" applyFill="1" applyAlignment="1" applyProtection="1">
      <alignment horizontal="right" vertical="center" wrapText="1"/>
      <protection locked="0"/>
    </xf>
    <xf numFmtId="184" fontId="46" fillId="0" borderId="0" xfId="0" applyNumberFormat="1" applyFont="1" applyFill="1" applyAlignment="1" applyProtection="1">
      <alignment horizontal="left" vertical="center" wrapText="1"/>
      <protection locked="0"/>
    </xf>
    <xf numFmtId="0" fontId="87" fillId="0" borderId="0" xfId="0" applyFont="1" applyFill="1" applyAlignment="1">
      <alignment horizontal="center" vertical="center"/>
    </xf>
    <xf numFmtId="184" fontId="48" fillId="0" borderId="1" xfId="0" applyNumberFormat="1" applyFont="1" applyFill="1" applyBorder="1" applyAlignment="1" applyProtection="1">
      <alignment horizontal="center" vertical="center" wrapText="1"/>
      <protection locked="0"/>
    </xf>
    <xf numFmtId="178" fontId="48" fillId="0" borderId="1" xfId="0" applyNumberFormat="1" applyFont="1" applyFill="1" applyBorder="1" applyAlignment="1" applyProtection="1">
      <alignment horizontal="center" vertical="center" wrapText="1"/>
      <protection locked="0"/>
    </xf>
    <xf numFmtId="184" fontId="46" fillId="0" borderId="1" xfId="0" applyNumberFormat="1" applyFont="1" applyFill="1" applyBorder="1" applyAlignment="1" applyProtection="1">
      <alignment horizontal="left" vertical="center" wrapText="1"/>
      <protection locked="0"/>
    </xf>
    <xf numFmtId="178" fontId="52" fillId="0" borderId="1" xfId="0" applyNumberFormat="1" applyFont="1" applyFill="1" applyBorder="1" applyAlignment="1" applyProtection="1">
      <alignment horizontal="right" vertical="center" wrapText="1"/>
      <protection locked="0"/>
    </xf>
    <xf numFmtId="184" fontId="46" fillId="0" borderId="1" xfId="0" applyNumberFormat="1" applyFont="1" applyFill="1" applyBorder="1" applyAlignment="1" applyProtection="1">
      <alignment horizontal="left" vertical="center" wrapText="1" indent="1"/>
      <protection locked="0"/>
    </xf>
    <xf numFmtId="0" fontId="46" fillId="0" borderId="1" xfId="0" applyFont="1" applyFill="1" applyBorder="1" applyAlignment="1" applyProtection="1">
      <alignment horizontal="left" vertical="center" wrapText="1" indent="4"/>
      <protection locked="0"/>
    </xf>
    <xf numFmtId="178" fontId="52" fillId="32" borderId="1" xfId="0" applyNumberFormat="1" applyFont="1" applyFill="1" applyBorder="1" applyAlignment="1" applyProtection="1">
      <alignment horizontal="right" vertical="center" wrapText="1"/>
      <protection locked="0"/>
    </xf>
    <xf numFmtId="0" fontId="46" fillId="0" borderId="1" xfId="0" applyFont="1" applyFill="1" applyBorder="1" applyAlignment="1" applyProtection="1">
      <alignment horizontal="left" vertical="center" wrapText="1"/>
      <protection locked="0"/>
    </xf>
    <xf numFmtId="184" fontId="46" fillId="0" borderId="1" xfId="0" applyNumberFormat="1" applyFont="1" applyFill="1" applyBorder="1" applyAlignment="1" applyProtection="1">
      <alignment horizontal="left" vertical="center" wrapText="1" indent="2"/>
      <protection locked="0"/>
    </xf>
    <xf numFmtId="0" fontId="46" fillId="8" borderId="1" xfId="0" applyFont="1" applyFill="1" applyBorder="1" applyAlignment="1" applyProtection="1">
      <alignment horizontal="left" vertical="center" wrapText="1" indent="4"/>
      <protection locked="0"/>
    </xf>
    <xf numFmtId="178" fontId="52" fillId="8" borderId="1" xfId="0" applyNumberFormat="1" applyFont="1" applyFill="1" applyBorder="1" applyAlignment="1" applyProtection="1">
      <alignment horizontal="right" vertical="center" wrapText="1"/>
      <protection locked="0"/>
    </xf>
    <xf numFmtId="0" fontId="46" fillId="8" borderId="1" xfId="0" applyFont="1" applyFill="1" applyBorder="1" applyAlignment="1" applyProtection="1">
      <alignment horizontal="left" vertical="center" wrapText="1"/>
      <protection locked="0"/>
    </xf>
    <xf numFmtId="184" fontId="46" fillId="0" borderId="1" xfId="0" applyNumberFormat="1" applyFont="1" applyFill="1" applyBorder="1" applyAlignment="1" applyProtection="1">
      <alignment horizontal="left" vertical="center" wrapText="1" indent="3"/>
      <protection locked="0"/>
    </xf>
    <xf numFmtId="0" fontId="88" fillId="8" borderId="1" xfId="0" applyFont="1" applyFill="1" applyBorder="1" applyAlignment="1" applyProtection="1">
      <alignment horizontal="left" vertical="center" wrapText="1"/>
      <protection locked="0"/>
    </xf>
    <xf numFmtId="178" fontId="52" fillId="0" borderId="1" xfId="69" applyNumberFormat="1" applyFont="1" applyFill="1" applyBorder="1" applyAlignment="1" applyProtection="1">
      <alignment horizontal="right" vertical="center"/>
    </xf>
    <xf numFmtId="178" fontId="52" fillId="32" borderId="1" xfId="69" applyNumberFormat="1" applyFont="1" applyFill="1" applyBorder="1" applyAlignment="1" applyProtection="1">
      <alignment horizontal="right" vertical="center"/>
    </xf>
    <xf numFmtId="184" fontId="46" fillId="0" borderId="1" xfId="0" applyNumberFormat="1" applyFont="1" applyFill="1" applyBorder="1" applyAlignment="1">
      <alignment vertical="center" wrapText="1"/>
    </xf>
    <xf numFmtId="178" fontId="52" fillId="8" borderId="1" xfId="69" applyNumberFormat="1" applyFont="1" applyFill="1" applyBorder="1" applyAlignment="1" applyProtection="1">
      <alignment horizontal="right" vertical="center"/>
    </xf>
    <xf numFmtId="184" fontId="46" fillId="8" borderId="1" xfId="0" applyNumberFormat="1" applyFont="1" applyFill="1" applyBorder="1" applyAlignment="1">
      <alignment vertical="center" wrapText="1"/>
    </xf>
    <xf numFmtId="0" fontId="46" fillId="0" borderId="1" xfId="69" applyFont="1" applyFill="1" applyBorder="1" applyAlignment="1">
      <alignment horizontal="left" vertical="center" wrapText="1" indent="4"/>
      <protection locked="0"/>
    </xf>
    <xf numFmtId="178" fontId="52" fillId="0" borderId="1" xfId="69" applyNumberFormat="1" applyFont="1" applyFill="1" applyBorder="1" applyAlignment="1">
      <alignment horizontal="right" vertical="center" wrapText="1"/>
      <protection locked="0"/>
    </xf>
    <xf numFmtId="178" fontId="52" fillId="32" borderId="1" xfId="69" applyNumberFormat="1" applyFont="1" applyFill="1" applyBorder="1" applyAlignment="1">
      <alignment horizontal="right" vertical="center" wrapText="1"/>
      <protection locked="0"/>
    </xf>
    <xf numFmtId="0" fontId="46" fillId="0" borderId="1" xfId="0" applyFont="1" applyFill="1" applyBorder="1" applyAlignment="1" applyProtection="1">
      <alignment horizontal="left" vertical="center" wrapText="1" indent="2"/>
      <protection locked="0"/>
    </xf>
    <xf numFmtId="0" fontId="46" fillId="0" borderId="1" xfId="0" applyFont="1" applyFill="1" applyBorder="1" applyAlignment="1" applyProtection="1">
      <alignment horizontal="left" vertical="center" wrapText="1" indent="1"/>
      <protection locked="0"/>
    </xf>
    <xf numFmtId="0" fontId="63" fillId="0" borderId="0" xfId="0" applyFont="1" applyAlignment="1">
      <alignment horizontal="center" vertical="center" wrapText="1"/>
    </xf>
    <xf numFmtId="0" fontId="89" fillId="0" borderId="0" xfId="0" applyFont="1" applyAlignment="1">
      <alignment horizontal="center" vertical="center" wrapText="1"/>
    </xf>
    <xf numFmtId="176" fontId="89" fillId="0" borderId="0" xfId="0" applyNumberFormat="1" applyFont="1" applyAlignment="1">
      <alignment horizontal="center" vertical="center" wrapText="1"/>
    </xf>
    <xf numFmtId="0" fontId="90" fillId="0" borderId="0" xfId="0" applyFont="1" applyAlignment="1">
      <alignment vertical="center" wrapText="1"/>
    </xf>
    <xf numFmtId="184" fontId="51" fillId="0" borderId="1" xfId="0" applyNumberFormat="1" applyFont="1" applyFill="1" applyBorder="1" applyAlignment="1" applyProtection="1">
      <alignment horizontal="center" vertical="center" wrapText="1"/>
      <protection locked="0"/>
    </xf>
    <xf numFmtId="176" fontId="63" fillId="24" borderId="1" xfId="0" applyNumberFormat="1" applyFont="1" applyFill="1" applyBorder="1" applyAlignment="1">
      <alignment horizontal="center" vertical="center" wrapText="1"/>
    </xf>
    <xf numFmtId="176" fontId="63" fillId="16" borderId="1" xfId="0" applyNumberFormat="1" applyFont="1" applyFill="1" applyBorder="1" applyAlignment="1">
      <alignment horizontal="center" vertical="center" wrapText="1"/>
    </xf>
    <xf numFmtId="0" fontId="63" fillId="0" borderId="1" xfId="0" applyFont="1" applyFill="1" applyBorder="1" applyAlignment="1">
      <alignment horizontal="center" vertical="center" wrapText="1"/>
    </xf>
    <xf numFmtId="0" fontId="91" fillId="0" borderId="0" xfId="0" applyFont="1" applyAlignment="1">
      <alignment horizontal="center" vertical="center" wrapText="1"/>
    </xf>
    <xf numFmtId="0" fontId="92" fillId="33" borderId="1" xfId="0" applyFont="1" applyFill="1" applyBorder="1" applyAlignment="1">
      <alignment horizontal="left" vertical="center" wrapText="1"/>
    </xf>
    <xf numFmtId="0" fontId="93" fillId="33" borderId="1" xfId="0" applyFont="1" applyFill="1" applyBorder="1" applyAlignment="1">
      <alignment horizontal="left" vertical="center" wrapText="1"/>
    </xf>
    <xf numFmtId="176" fontId="63" fillId="24" borderId="1" xfId="0" applyNumberFormat="1" applyFont="1" applyFill="1" applyBorder="1" applyAlignment="1">
      <alignment horizontal="right" vertical="center" wrapText="1"/>
    </xf>
    <xf numFmtId="176" fontId="63" fillId="16" borderId="1" xfId="0" applyNumberFormat="1" applyFont="1" applyFill="1" applyBorder="1" applyAlignment="1">
      <alignment horizontal="right" vertical="center" wrapText="1"/>
    </xf>
    <xf numFmtId="0" fontId="88" fillId="0" borderId="1" xfId="0" applyFont="1" applyFill="1" applyBorder="1" applyAlignment="1">
      <alignment vertical="center" wrapText="1"/>
    </xf>
    <xf numFmtId="0" fontId="89" fillId="0" borderId="1" xfId="0" applyFont="1" applyFill="1" applyBorder="1" applyAlignment="1">
      <alignment horizontal="left" vertical="center" wrapText="1"/>
    </xf>
    <xf numFmtId="0" fontId="90" fillId="0" borderId="1" xfId="0" applyFont="1" applyFill="1" applyBorder="1" applyAlignment="1">
      <alignment vertical="center" wrapText="1"/>
    </xf>
    <xf numFmtId="0" fontId="90" fillId="8" borderId="1" xfId="0" applyFont="1" applyFill="1" applyBorder="1" applyAlignment="1">
      <alignment vertical="center" wrapText="1"/>
    </xf>
    <xf numFmtId="0" fontId="90" fillId="0" borderId="1" xfId="0" applyFont="1" applyBorder="1" applyAlignment="1">
      <alignment vertical="center" wrapText="1"/>
    </xf>
    <xf numFmtId="0" fontId="93" fillId="0" borderId="1" xfId="0" applyFont="1" applyFill="1" applyBorder="1" applyAlignment="1">
      <alignment horizontal="left" vertical="center" wrapText="1"/>
    </xf>
    <xf numFmtId="0" fontId="88" fillId="0" borderId="1" xfId="0" applyFont="1" applyBorder="1" applyAlignment="1">
      <alignment vertical="center" wrapText="1"/>
    </xf>
    <xf numFmtId="176" fontId="63" fillId="9" borderId="1" xfId="0" applyNumberFormat="1" applyFont="1" applyFill="1" applyBorder="1" applyAlignment="1">
      <alignment horizontal="right" vertical="center" wrapText="1"/>
    </xf>
    <xf numFmtId="0" fontId="93" fillId="0" borderId="1" xfId="0" applyFont="1" applyFill="1" applyBorder="1" applyAlignment="1">
      <alignment wrapText="1"/>
    </xf>
    <xf numFmtId="0" fontId="48" fillId="0" borderId="0" xfId="0" applyFont="1" applyFill="1" applyAlignment="1"/>
    <xf numFmtId="0" fontId="43" fillId="0" borderId="0" xfId="0" applyFont="1" applyFill="1" applyAlignment="1">
      <alignment horizontal="right"/>
    </xf>
    <xf numFmtId="41" fontId="43" fillId="0" borderId="0" xfId="0" applyNumberFormat="1" applyFont="1" applyFill="1" applyAlignment="1">
      <alignment horizontal="right"/>
    </xf>
    <xf numFmtId="0" fontId="94" fillId="0" borderId="0" xfId="0" applyFont="1" applyFill="1" applyAlignment="1">
      <alignment horizontal="center"/>
    </xf>
    <xf numFmtId="0" fontId="56" fillId="0" borderId="0" xfId="0" applyFont="1" applyFill="1" applyAlignment="1"/>
    <xf numFmtId="41" fontId="48" fillId="0" borderId="1" xfId="0" applyNumberFormat="1" applyFont="1" applyFill="1" applyBorder="1" applyAlignment="1">
      <alignment horizontal="center" vertical="center"/>
    </xf>
    <xf numFmtId="41" fontId="51" fillId="0" borderId="1" xfId="0" applyNumberFormat="1" applyFont="1" applyFill="1" applyBorder="1" applyAlignment="1">
      <alignment horizontal="center" vertical="center" wrapText="1"/>
    </xf>
    <xf numFmtId="41" fontId="51" fillId="0" borderId="1" xfId="0" applyNumberFormat="1" applyFont="1" applyFill="1" applyBorder="1" applyAlignment="1">
      <alignment horizontal="center" vertical="center"/>
    </xf>
    <xf numFmtId="0" fontId="51" fillId="24" borderId="1" xfId="0" applyFont="1" applyFill="1" applyBorder="1" applyAlignment="1">
      <alignment vertical="center"/>
    </xf>
    <xf numFmtId="41" fontId="76" fillId="24" borderId="1" xfId="0" applyNumberFormat="1" applyFont="1" applyFill="1" applyBorder="1" applyAlignment="1">
      <alignment horizontal="right" vertical="center"/>
    </xf>
    <xf numFmtId="0" fontId="51" fillId="24" borderId="1" xfId="0" applyFont="1" applyFill="1" applyBorder="1" applyAlignment="1">
      <alignment horizontal="left" vertical="center"/>
    </xf>
    <xf numFmtId="1" fontId="51" fillId="24" borderId="1" xfId="0" applyNumberFormat="1" applyFont="1" applyFill="1" applyBorder="1" applyAlignment="1" applyProtection="1">
      <alignment vertical="center"/>
      <protection locked="0"/>
    </xf>
    <xf numFmtId="0" fontId="51" fillId="0" borderId="1" xfId="63" applyFont="1" applyFill="1" applyBorder="1" applyAlignment="1" applyProtection="1">
      <alignment vertical="center"/>
      <protection locked="0"/>
    </xf>
    <xf numFmtId="180" fontId="76" fillId="0" borderId="1" xfId="1" applyNumberFormat="1" applyFont="1" applyFill="1" applyBorder="1" applyAlignment="1" applyProtection="1">
      <alignment horizontal="right" vertical="center"/>
    </xf>
    <xf numFmtId="41" fontId="76" fillId="0" borderId="1" xfId="1" applyNumberFormat="1" applyFont="1" applyFill="1" applyBorder="1" applyAlignment="1" applyProtection="1">
      <alignment horizontal="right" vertical="center"/>
    </xf>
    <xf numFmtId="41" fontId="63" fillId="24" borderId="1" xfId="4" applyNumberFormat="1" applyFont="1" applyFill="1" applyBorder="1" applyAlignment="1" applyProtection="1">
      <alignment horizontal="left" vertical="center"/>
      <protection locked="0"/>
    </xf>
    <xf numFmtId="41" fontId="76" fillId="0" borderId="1" xfId="0" applyNumberFormat="1" applyFont="1" applyFill="1" applyBorder="1" applyAlignment="1">
      <alignment horizontal="right" vertical="center"/>
    </xf>
    <xf numFmtId="0" fontId="63" fillId="0" borderId="1" xfId="0" applyFont="1" applyFill="1" applyBorder="1" applyAlignment="1">
      <alignment vertical="center"/>
    </xf>
    <xf numFmtId="41" fontId="76" fillId="8" borderId="1" xfId="0" applyNumberFormat="1" applyFont="1" applyFill="1" applyBorder="1" applyAlignment="1">
      <alignment horizontal="right" vertical="center"/>
    </xf>
    <xf numFmtId="0" fontId="51" fillId="0" borderId="1" xfId="63" applyFont="1" applyFill="1" applyBorder="1" applyAlignment="1" applyProtection="1">
      <alignment vertical="center" wrapText="1"/>
      <protection locked="0"/>
    </xf>
    <xf numFmtId="41" fontId="51" fillId="0" borderId="1" xfId="4" applyNumberFormat="1" applyFont="1" applyFill="1" applyBorder="1" applyAlignment="1" applyProtection="1">
      <alignment horizontal="left" vertical="center" wrapText="1"/>
      <protection locked="0"/>
    </xf>
    <xf numFmtId="41" fontId="51" fillId="0" borderId="1" xfId="4" applyNumberFormat="1" applyFont="1" applyFill="1" applyBorder="1" applyAlignment="1" applyProtection="1">
      <alignment horizontal="left" vertical="center"/>
      <protection locked="0"/>
    </xf>
    <xf numFmtId="41" fontId="76" fillId="0" borderId="1" xfId="4" applyNumberFormat="1" applyFont="1" applyFill="1" applyBorder="1" applyAlignment="1" applyProtection="1">
      <alignment horizontal="right" vertical="center"/>
      <protection locked="0"/>
    </xf>
    <xf numFmtId="41" fontId="63" fillId="0" borderId="1" xfId="4" applyNumberFormat="1" applyFont="1" applyFill="1" applyBorder="1" applyAlignment="1" applyProtection="1">
      <alignment horizontal="left" vertical="center"/>
      <protection locked="0"/>
    </xf>
    <xf numFmtId="0" fontId="48" fillId="24" borderId="1" xfId="0" applyFont="1" applyFill="1" applyBorder="1" applyAlignment="1">
      <alignment horizontal="center" vertical="center"/>
    </xf>
    <xf numFmtId="185" fontId="76" fillId="24" borderId="1" xfId="0" applyNumberFormat="1" applyFont="1" applyFill="1" applyBorder="1" applyAlignment="1">
      <alignment horizontal="right" vertical="center"/>
    </xf>
    <xf numFmtId="185" fontId="48" fillId="24" borderId="1" xfId="4" applyNumberFormat="1" applyFont="1" applyFill="1" applyBorder="1" applyAlignment="1">
      <alignment horizontal="center" vertical="center"/>
    </xf>
    <xf numFmtId="0" fontId="48" fillId="0" borderId="0" xfId="0" applyFont="1" applyFill="1" applyAlignment="1">
      <alignment horizontal="right"/>
    </xf>
    <xf numFmtId="41" fontId="48" fillId="0" borderId="0" xfId="0" applyNumberFormat="1" applyFont="1" applyFill="1" applyAlignment="1">
      <alignment horizontal="right"/>
    </xf>
    <xf numFmtId="41" fontId="76" fillId="0" borderId="0" xfId="0" applyNumberFormat="1" applyFont="1" applyFill="1" applyBorder="1" applyAlignment="1">
      <alignment horizontal="right" vertical="center"/>
    </xf>
    <xf numFmtId="41" fontId="46" fillId="0" borderId="0" xfId="0" applyNumberFormat="1" applyFont="1" applyFill="1" applyBorder="1" applyAlignment="1">
      <alignment horizontal="right"/>
    </xf>
    <xf numFmtId="0" fontId="46" fillId="0" borderId="0" xfId="0" applyFont="1" applyFill="1" applyAlignment="1"/>
    <xf numFmtId="41" fontId="43" fillId="0" borderId="0" xfId="0" applyNumberFormat="1" applyFont="1" applyFill="1" applyBorder="1" applyAlignment="1">
      <alignment horizontal="right"/>
    </xf>
    <xf numFmtId="41" fontId="46" fillId="0" borderId="0" xfId="0" applyNumberFormat="1" applyFont="1" applyFill="1" applyAlignment="1">
      <alignment horizontal="right"/>
    </xf>
    <xf numFmtId="185" fontId="76" fillId="0" borderId="1" xfId="0" applyNumberFormat="1" applyFont="1" applyFill="1" applyBorder="1" applyAlignment="1">
      <alignment horizontal="right" vertical="center"/>
    </xf>
    <xf numFmtId="185" fontId="76" fillId="8" borderId="1" xfId="0" applyNumberFormat="1" applyFont="1" applyFill="1" applyBorder="1" applyAlignment="1">
      <alignment horizontal="right" vertical="center"/>
    </xf>
    <xf numFmtId="41" fontId="76" fillId="23" borderId="1" xfId="0" applyNumberFormat="1" applyFont="1" applyFill="1" applyBorder="1" applyAlignment="1">
      <alignment horizontal="right" vertical="center"/>
    </xf>
    <xf numFmtId="185" fontId="76" fillId="0" borderId="1" xfId="4" applyNumberFormat="1" applyFont="1" applyFill="1" applyBorder="1" applyAlignment="1" applyProtection="1">
      <alignment horizontal="right" vertical="center"/>
      <protection locked="0"/>
    </xf>
    <xf numFmtId="0" fontId="48" fillId="24" borderId="1" xfId="0" applyFont="1" applyFill="1" applyBorder="1" applyAlignment="1">
      <alignment horizontal="center" vertical="center" wrapText="1"/>
    </xf>
    <xf numFmtId="41" fontId="48" fillId="24" borderId="1" xfId="0" applyNumberFormat="1" applyFont="1" applyFill="1" applyBorder="1" applyAlignment="1">
      <alignment horizontal="center" vertical="center" wrapText="1"/>
    </xf>
    <xf numFmtId="41" fontId="48" fillId="24" borderId="1" xfId="0" applyNumberFormat="1" applyFont="1" applyFill="1" applyBorder="1" applyAlignment="1">
      <alignment horizontal="center" vertical="center"/>
    </xf>
    <xf numFmtId="41" fontId="51" fillId="24" borderId="1" xfId="0" applyNumberFormat="1" applyFont="1" applyFill="1" applyBorder="1" applyAlignment="1">
      <alignment horizontal="right" vertical="center"/>
    </xf>
    <xf numFmtId="41" fontId="51" fillId="0" borderId="1" xfId="0" applyNumberFormat="1" applyFont="1" applyFill="1" applyBorder="1" applyAlignment="1">
      <alignment horizontal="right" vertical="center"/>
    </xf>
    <xf numFmtId="180" fontId="51" fillId="0" borderId="1" xfId="1" applyNumberFormat="1" applyFont="1" applyFill="1" applyBorder="1" applyAlignment="1" applyProtection="1">
      <alignment horizontal="right" vertical="center"/>
    </xf>
    <xf numFmtId="41" fontId="51" fillId="24" borderId="1" xfId="4" applyNumberFormat="1" applyFont="1" applyFill="1" applyBorder="1" applyAlignment="1" applyProtection="1">
      <alignment vertical="center"/>
      <protection locked="0"/>
    </xf>
    <xf numFmtId="41" fontId="51" fillId="0" borderId="1" xfId="4" applyNumberFormat="1" applyFont="1" applyFill="1" applyBorder="1" applyAlignment="1" applyProtection="1">
      <alignment horizontal="right" vertical="center"/>
      <protection locked="0"/>
    </xf>
    <xf numFmtId="41" fontId="51" fillId="16" borderId="1" xfId="0" applyNumberFormat="1" applyFont="1" applyFill="1" applyBorder="1" applyAlignment="1">
      <alignment horizontal="right" vertical="center"/>
    </xf>
    <xf numFmtId="185" fontId="51" fillId="24" borderId="1" xfId="0" applyNumberFormat="1" applyFont="1" applyFill="1" applyBorder="1" applyAlignment="1">
      <alignment horizontal="right" vertical="center"/>
    </xf>
    <xf numFmtId="0" fontId="35" fillId="0" borderId="2" xfId="0" applyFont="1" applyFill="1" applyBorder="1" applyAlignment="1" applyProtection="1">
      <alignment horizontal="center" vertical="center"/>
    </xf>
    <xf numFmtId="0" fontId="35" fillId="0" borderId="11" xfId="0" applyFont="1" applyFill="1" applyBorder="1" applyAlignment="1" applyProtection="1">
      <alignment horizontal="center" vertical="center"/>
    </xf>
    <xf numFmtId="0" fontId="41" fillId="0" borderId="2" xfId="0" applyFont="1" applyFill="1" applyBorder="1" applyAlignment="1" applyProtection="1">
      <alignment horizontal="center" vertical="center"/>
    </xf>
    <xf numFmtId="0" fontId="35" fillId="0" borderId="3" xfId="0" applyFont="1" applyFill="1" applyBorder="1" applyAlignment="1" applyProtection="1">
      <alignment horizontal="center" vertical="center"/>
    </xf>
    <xf numFmtId="0" fontId="36" fillId="0" borderId="1" xfId="0" applyFont="1" applyFill="1" applyBorder="1" applyAlignment="1" applyProtection="1">
      <alignment horizontal="center" vertical="center"/>
    </xf>
    <xf numFmtId="0" fontId="35" fillId="0" borderId="6" xfId="0" applyFont="1" applyFill="1" applyBorder="1" applyAlignment="1" applyProtection="1">
      <alignment horizontal="center" vertical="center"/>
    </xf>
    <xf numFmtId="183" fontId="35" fillId="28" borderId="1" xfId="0" applyNumberFormat="1" applyFont="1" applyFill="1" applyBorder="1" applyAlignment="1" applyProtection="1">
      <alignment vertical="center"/>
    </xf>
    <xf numFmtId="0" fontId="2" fillId="0" borderId="13" xfId="0" applyFont="1" applyFill="1" applyBorder="1" applyAlignment="1" applyProtection="1">
      <alignment vertical="center"/>
    </xf>
    <xf numFmtId="183" fontId="35" fillId="23" borderId="1" xfId="0" applyNumberFormat="1" applyFont="1" applyFill="1" applyBorder="1" applyAlignment="1" applyProtection="1">
      <alignment vertical="center"/>
    </xf>
    <xf numFmtId="0" fontId="36" fillId="0" borderId="13" xfId="0" applyFont="1" applyFill="1" applyBorder="1" applyAlignment="1" applyProtection="1">
      <alignment vertical="center"/>
    </xf>
    <xf numFmtId="183" fontId="35" fillId="24" borderId="1" xfId="0" applyNumberFormat="1" applyFont="1" applyFill="1" applyBorder="1" applyAlignment="1" applyProtection="1">
      <alignment vertical="center"/>
    </xf>
    <xf numFmtId="0" fontId="37" fillId="0" borderId="13" xfId="0" applyFont="1" applyFill="1" applyBorder="1" applyAlignment="1" applyProtection="1">
      <alignment vertical="center"/>
    </xf>
    <xf numFmtId="183" fontId="35" fillId="0" borderId="1" xfId="0" applyNumberFormat="1" applyFont="1" applyFill="1" applyBorder="1" applyAlignment="1" applyProtection="1">
      <alignment vertical="center"/>
    </xf>
    <xf numFmtId="0" fontId="95" fillId="0" borderId="13" xfId="0" applyFont="1" applyFill="1" applyBorder="1" applyAlignment="1" applyProtection="1">
      <alignment vertical="center"/>
    </xf>
    <xf numFmtId="0" fontId="84" fillId="0" borderId="13" xfId="0" applyFont="1" applyFill="1" applyBorder="1" applyAlignment="1" applyProtection="1">
      <alignment vertical="center"/>
    </xf>
    <xf numFmtId="0" fontId="85" fillId="0" borderId="13" xfId="0" applyFont="1" applyFill="1" applyBorder="1" applyAlignment="1" applyProtection="1">
      <alignment vertical="center"/>
    </xf>
    <xf numFmtId="0" fontId="35" fillId="0" borderId="4" xfId="0" applyFont="1" applyFill="1" applyBorder="1" applyAlignment="1" applyProtection="1">
      <alignment horizontal="center" vertical="center"/>
    </xf>
    <xf numFmtId="0" fontId="23" fillId="0" borderId="1" xfId="0" applyFont="1" applyFill="1" applyBorder="1" applyAlignment="1" applyProtection="1"/>
    <xf numFmtId="10" fontId="35" fillId="28" borderId="1" xfId="0" applyNumberFormat="1" applyFont="1" applyFill="1" applyBorder="1" applyAlignment="1" applyProtection="1">
      <alignment vertical="center"/>
    </xf>
    <xf numFmtId="10" fontId="35" fillId="23" borderId="1" xfId="0" applyNumberFormat="1" applyFont="1" applyFill="1" applyBorder="1" applyAlignment="1" applyProtection="1">
      <alignment vertical="center"/>
    </xf>
    <xf numFmtId="10" fontId="35" fillId="24" borderId="1" xfId="0" applyNumberFormat="1" applyFont="1" applyFill="1" applyBorder="1" applyAlignment="1" applyProtection="1">
      <alignment vertical="center"/>
    </xf>
    <xf numFmtId="10" fontId="35" fillId="0" borderId="1" xfId="0" applyNumberFormat="1" applyFont="1" applyFill="1" applyBorder="1" applyAlignment="1" applyProtection="1">
      <alignment vertical="center"/>
    </xf>
    <xf numFmtId="0" fontId="41" fillId="0" borderId="14" xfId="0" applyFont="1" applyFill="1" applyBorder="1" applyAlignment="1" applyProtection="1">
      <alignment horizontal="center" vertical="center"/>
    </xf>
    <xf numFmtId="0" fontId="23" fillId="0" borderId="0" xfId="0" applyFont="1" applyFill="1" applyBorder="1" applyAlignment="1" applyProtection="1"/>
    <xf numFmtId="176" fontId="3" fillId="0" borderId="0" xfId="0" applyNumberFormat="1" applyFont="1" applyFill="1" applyBorder="1" applyAlignment="1"/>
    <xf numFmtId="176" fontId="82" fillId="0" borderId="0" xfId="0" applyNumberFormat="1" applyFont="1" applyFill="1" applyBorder="1" applyAlignment="1" applyProtection="1"/>
    <xf numFmtId="0" fontId="29" fillId="0" borderId="0" xfId="0" applyFont="1" applyFill="1" applyBorder="1" applyAlignment="1" applyProtection="1">
      <alignment horizontal="right"/>
    </xf>
    <xf numFmtId="0" fontId="36" fillId="0" borderId="0" xfId="0" applyFont="1" applyFill="1" applyBorder="1" applyAlignment="1" applyProtection="1">
      <alignment horizontal="center" vertical="center"/>
    </xf>
    <xf numFmtId="183" fontId="35" fillId="0" borderId="0" xfId="0" applyNumberFormat="1" applyFont="1" applyFill="1" applyBorder="1" applyAlignment="1" applyProtection="1">
      <alignment vertical="center"/>
    </xf>
    <xf numFmtId="0" fontId="96" fillId="0" borderId="0" xfId="0" applyFont="1" applyFill="1" applyAlignment="1" applyProtection="1">
      <alignment horizontal="center" vertical="center"/>
    </xf>
    <xf numFmtId="183" fontId="96" fillId="0" borderId="0" xfId="0" applyNumberFormat="1" applyFont="1" applyFill="1" applyAlignment="1" applyProtection="1">
      <alignment horizontal="center" vertical="center"/>
    </xf>
    <xf numFmtId="183" fontId="29" fillId="0" borderId="0" xfId="0" applyNumberFormat="1" applyFont="1" applyFill="1" applyBorder="1" applyAlignment="1" applyProtection="1"/>
    <xf numFmtId="0" fontId="83" fillId="0" borderId="2" xfId="0" applyFont="1" applyFill="1" applyBorder="1" applyAlignment="1" applyProtection="1">
      <alignment horizontal="center" vertical="center"/>
    </xf>
    <xf numFmtId="183" fontId="35" fillId="0" borderId="3" xfId="0" applyNumberFormat="1" applyFont="1" applyFill="1" applyBorder="1" applyAlignment="1" applyProtection="1">
      <alignment horizontal="center" vertical="center"/>
    </xf>
    <xf numFmtId="183" fontId="35" fillId="0" borderId="1" xfId="0" applyNumberFormat="1" applyFont="1" applyFill="1" applyBorder="1" applyAlignment="1" applyProtection="1">
      <alignment horizontal="center" vertical="center"/>
    </xf>
    <xf numFmtId="183" fontId="97" fillId="28" borderId="1" xfId="0" applyNumberFormat="1" applyFont="1" applyFill="1" applyBorder="1" applyAlignment="1" applyProtection="1">
      <alignment horizontal="right" vertical="center"/>
    </xf>
    <xf numFmtId="183" fontId="38" fillId="28" borderId="1" xfId="0" applyNumberFormat="1" applyFont="1" applyFill="1" applyBorder="1" applyAlignment="1" applyProtection="1">
      <alignment horizontal="right" vertical="center"/>
    </xf>
    <xf numFmtId="183" fontId="38" fillId="23" borderId="2" xfId="0" applyNumberFormat="1" applyFont="1" applyFill="1" applyBorder="1" applyAlignment="1" applyProtection="1">
      <alignment horizontal="right" vertical="center"/>
    </xf>
    <xf numFmtId="183" fontId="38" fillId="23" borderId="1" xfId="0" applyNumberFormat="1" applyFont="1" applyFill="1" applyBorder="1" applyAlignment="1" applyProtection="1">
      <alignment horizontal="right" vertical="center"/>
    </xf>
    <xf numFmtId="183" fontId="38" fillId="24" borderId="1" xfId="0" applyNumberFormat="1" applyFont="1" applyFill="1" applyBorder="1" applyAlignment="1" applyProtection="1">
      <alignment horizontal="right" vertical="center"/>
    </xf>
    <xf numFmtId="0" fontId="38" fillId="0" borderId="2" xfId="0" applyFont="1" applyFill="1" applyBorder="1" applyAlignment="1" applyProtection="1">
      <alignment horizontal="right" vertical="center"/>
    </xf>
    <xf numFmtId="183" fontId="38" fillId="0" borderId="1" xfId="0" applyNumberFormat="1" applyFont="1" applyFill="1" applyBorder="1" applyAlignment="1" applyProtection="1">
      <alignment horizontal="right" vertical="center"/>
    </xf>
    <xf numFmtId="183" fontId="38" fillId="0" borderId="2" xfId="0" applyNumberFormat="1" applyFont="1" applyFill="1" applyBorder="1" applyAlignment="1" applyProtection="1">
      <alignment horizontal="right" vertical="center"/>
    </xf>
    <xf numFmtId="0" fontId="38" fillId="0" borderId="1" xfId="0" applyFont="1" applyFill="1" applyBorder="1" applyAlignment="1" applyProtection="1">
      <alignment horizontal="right" vertical="center"/>
    </xf>
    <xf numFmtId="183" fontId="38" fillId="0" borderId="1" xfId="0" applyNumberFormat="1" applyFont="1" applyFill="1" applyBorder="1" applyAlignment="1" applyProtection="1"/>
    <xf numFmtId="0" fontId="97" fillId="0" borderId="2" xfId="0" applyFont="1" applyFill="1" applyBorder="1" applyAlignment="1" applyProtection="1">
      <alignment horizontal="right" vertical="center"/>
    </xf>
    <xf numFmtId="0" fontId="97" fillId="0" borderId="1" xfId="0" applyFont="1" applyFill="1" applyBorder="1" applyAlignment="1" applyProtection="1">
      <alignment horizontal="right" vertical="center"/>
    </xf>
    <xf numFmtId="41" fontId="48" fillId="0" borderId="1" xfId="0" applyNumberFormat="1" applyFont="1" applyFill="1" applyBorder="1" applyAlignment="1">
      <alignment horizontal="center" vertical="center" wrapText="1"/>
    </xf>
    <xf numFmtId="0" fontId="51" fillId="24" borderId="1" xfId="0" applyFont="1" applyFill="1" applyBorder="1" applyAlignment="1">
      <alignment horizontal="right" vertical="center"/>
    </xf>
    <xf numFmtId="0" fontId="51" fillId="0" borderId="1" xfId="0" applyFont="1" applyFill="1" applyBorder="1" applyAlignment="1">
      <alignment horizontal="right" vertical="center"/>
    </xf>
    <xf numFmtId="0" fontId="51" fillId="0" borderId="1" xfId="0" applyFont="1" applyFill="1" applyBorder="1" applyAlignment="1">
      <alignment horizontal="right" vertical="center" wrapText="1"/>
    </xf>
    <xf numFmtId="0" fontId="98" fillId="0" borderId="0" xfId="0" applyFont="1" applyFill="1" applyAlignment="1"/>
    <xf numFmtId="0" fontId="43" fillId="0" borderId="0" xfId="0" applyFont="1" applyFill="1" applyAlignment="1">
      <alignment vertical="center"/>
    </xf>
    <xf numFmtId="41" fontId="51" fillId="8" borderId="1" xfId="0" applyNumberFormat="1" applyFont="1" applyFill="1" applyBorder="1" applyAlignment="1">
      <alignment horizontal="right" vertical="center"/>
    </xf>
    <xf numFmtId="0" fontId="98" fillId="0" borderId="0" xfId="0" applyFont="1" applyFill="1" applyAlignment="1">
      <alignment horizontal="right"/>
    </xf>
    <xf numFmtId="10" fontId="51" fillId="24" borderId="1" xfId="0" applyNumberFormat="1" applyFont="1" applyFill="1" applyBorder="1" applyAlignment="1">
      <alignment horizontal="right" vertical="center"/>
    </xf>
  </cellXfs>
  <cellStyles count="7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2" xfId="49"/>
    <cellStyle name="常规 6" xfId="50"/>
    <cellStyle name="千位分隔 4" xfId="51"/>
    <cellStyle name="千位分隔[0] 2" xfId="52"/>
    <cellStyle name="常规 2 2" xfId="53"/>
    <cellStyle name="常规 2" xfId="54"/>
    <cellStyle name="常规 3" xfId="55"/>
    <cellStyle name="常规 4" xfId="56"/>
    <cellStyle name="千位分隔 2" xfId="57"/>
    <cellStyle name="常规 5" xfId="58"/>
    <cellStyle name="千位分隔 3" xfId="59"/>
    <cellStyle name="常规 7" xfId="60"/>
    <cellStyle name="千位分隔 5" xfId="61"/>
    <cellStyle name="常规_Sheet1" xfId="62"/>
    <cellStyle name="常规_2010年执行及2011年预算（报人大）" xfId="63"/>
    <cellStyle name="货币 2" xfId="64"/>
    <cellStyle name="_黄石市2013年省对下结算对账单（对账）20140218" xfId="65"/>
    <cellStyle name="常规_8、债券表 (2)" xfId="66"/>
    <cellStyle name="常规_3支出预算调整变动项目表_1" xfId="67"/>
    <cellStyle name="常规_政府性基金预算表" xfId="68"/>
    <cellStyle name="常规_2013年结算对账0731_2015年黄石市结算2" xfId="69"/>
    <cellStyle name="Normal 2" xfId="70"/>
    <cellStyle name="Normal" xfId="71"/>
    <cellStyle name="常规_2004单位预算汇总" xfId="72"/>
    <cellStyle name="常规_2004年总预算表" xfId="73"/>
    <cellStyle name="常规_附表3" xfId="74"/>
    <cellStyle name="常规_表二_1" xfId="75"/>
  </cellStyles>
  <dxfs count="1">
    <dxf>
      <fill>
        <patternFill patternType="solid">
          <bgColor rgb="FFFF9900"/>
        </patternFill>
      </fill>
    </dxf>
  </dxfs>
  <tableStyles count="0" defaultTableStyle="TableStyleMedium2" defaultPivotStyle="PivotStyleLight16"/>
  <colors>
    <mruColors>
      <color rgb="00FFC000"/>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1" Type="http://schemas.openxmlformats.org/officeDocument/2006/relationships/sharedStrings" Target="sharedStrings.xml"/><Relationship Id="rId40" Type="http://schemas.openxmlformats.org/officeDocument/2006/relationships/styles" Target="styles.xml"/><Relationship Id="rId4" Type="http://schemas.openxmlformats.org/officeDocument/2006/relationships/worksheet" Target="worksheets/sheet4.xml"/><Relationship Id="rId39" Type="http://schemas.openxmlformats.org/officeDocument/2006/relationships/theme" Target="theme/theme1.xml"/><Relationship Id="rId38" Type="http://schemas.openxmlformats.org/officeDocument/2006/relationships/externalLink" Target="externalLinks/externalLink17.xml"/><Relationship Id="rId37" Type="http://schemas.openxmlformats.org/officeDocument/2006/relationships/externalLink" Target="externalLinks/externalLink16.xml"/><Relationship Id="rId36" Type="http://schemas.openxmlformats.org/officeDocument/2006/relationships/externalLink" Target="externalLinks/externalLink15.xml"/><Relationship Id="rId35" Type="http://schemas.openxmlformats.org/officeDocument/2006/relationships/externalLink" Target="externalLinks/externalLink14.xml"/><Relationship Id="rId34" Type="http://schemas.openxmlformats.org/officeDocument/2006/relationships/externalLink" Target="externalLinks/externalLink13.xml"/><Relationship Id="rId33" Type="http://schemas.openxmlformats.org/officeDocument/2006/relationships/externalLink" Target="externalLinks/externalLink12.xml"/><Relationship Id="rId32" Type="http://schemas.openxmlformats.org/officeDocument/2006/relationships/externalLink" Target="externalLinks/externalLink11.xml"/><Relationship Id="rId31" Type="http://schemas.openxmlformats.org/officeDocument/2006/relationships/externalLink" Target="externalLinks/externalLink10.xml"/><Relationship Id="rId30" Type="http://schemas.openxmlformats.org/officeDocument/2006/relationships/externalLink" Target="externalLinks/externalLink9.xml"/><Relationship Id="rId3" Type="http://schemas.openxmlformats.org/officeDocument/2006/relationships/worksheet" Target="worksheets/sheet3.xml"/><Relationship Id="rId29" Type="http://schemas.openxmlformats.org/officeDocument/2006/relationships/externalLink" Target="externalLinks/externalLink8.xml"/><Relationship Id="rId28" Type="http://schemas.openxmlformats.org/officeDocument/2006/relationships/externalLink" Target="externalLinks/externalLink7.xml"/><Relationship Id="rId27" Type="http://schemas.openxmlformats.org/officeDocument/2006/relationships/externalLink" Target="externalLinks/externalLink6.xml"/><Relationship Id="rId26" Type="http://schemas.openxmlformats.org/officeDocument/2006/relationships/externalLink" Target="externalLinks/externalLink5.xml"/><Relationship Id="rId25" Type="http://schemas.openxmlformats.org/officeDocument/2006/relationships/externalLink" Target="externalLinks/externalLink4.xml"/><Relationship Id="rId24" Type="http://schemas.openxmlformats.org/officeDocument/2006/relationships/externalLink" Target="externalLinks/externalLink3.xml"/><Relationship Id="rId23" Type="http://schemas.openxmlformats.org/officeDocument/2006/relationships/externalLink" Target="externalLinks/externalLink2.xml"/><Relationship Id="rId22" Type="http://schemas.openxmlformats.org/officeDocument/2006/relationships/externalLink" Target="externalLinks/externalLink1.xml"/><Relationship Id="rId21" Type="http://schemas.openxmlformats.org/officeDocument/2006/relationships/customXml" Target="../customXml/item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9044;&#31639;&#24037;&#20316;\4&#25919;&#24220;&#20915;&#31639;\2022&#24180;&#25919;&#24220;&#20915;&#31639;\2022&#24180;&#20915;&#31639;&#33609;&#26696;\2022&#24180;&#36130;&#25919;&#20915;&#31639;&#65288;&#33609;&#26696;&#65289;&#30340;&#25253;&#21578;-&#25253;&#20154;&#22823;2023080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TS01\jhc\CHR\ARBEJDE\Q4DK.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HANGHAI_LF\&#39044;&#31639;&#22788;\BY\YS3\97&#20915;&#31639;&#21306;&#21439;&#26368;&#21518;&#27719;&#2463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NTS01\jhc\unzipped\Eastern%20Airline%20FE\GP\tamer\WINDOWS\GP_AT.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A:\WINDOWS\TEMP\GOLDPYR4\ARENTO\TOOLBOX.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TS01\jhc\unzipped\Eastern%20Airline%20FE\GP\tamer\DOS\TEMP\GPTLBX9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var\mobile\Containers\Data\Application\4762BA91-4A7C-4707-89AC-58E7A6241326\Documents\WpsQingCache_\17066194\o\LOCAL-7AB1CF5E-E549-4B2D-82FA-A1F5E5E37360\n\POWER%20ASSUMPTION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Documents%20and%20Settings\xiong\&#26700;&#38754;\&#20154;&#21592;&#20449;&#24687;&#37319;&#38598;&#34920;&#65288;&#27700;&#30005;&#23616;041122&#65289;.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Documents%20and%20Settings\Administrator\&#26700;&#38754;\&#26032;&#24314;&#25991;&#20214;&#22841;\&#20013;&#22830;&#23545;&#36134;&#20250;&#21518;\Documents%20and%20Settings\xiong\&#26700;&#38754;\Documents%20and%20Settings\lx\My%20Documents\F&#36130;&#25919;&#20379;&#20859;&#20154;&#21592;&#20449;&#24687;&#31995;&#32479;F\&#25945;&#32946;&#20449;&#24687;2&#29256;\&#38472;&#24215;.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Documents%20and%20Settings\Administrator\&#26700;&#38754;\&#26032;&#24314;&#25991;&#20214;&#22841;\&#20013;&#22830;&#23545;&#36134;&#20250;&#21518;\Documents%20and%20Settings\xiong\&#26700;&#38754;\&#20154;&#21592;&#20449;&#24687;&#37319;&#38598;&#34920;&#65288;&#27700;&#30005;&#23616;041122&#65289;.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Documents%20and%20Settings\Administrator\&#26700;&#38754;\&#26032;&#24314;&#25991;&#20214;&#22841;\&#20013;&#22830;&#23545;&#36134;&#20250;&#21518;\Documents%20and%20Settings\xiong\&#26700;&#38754;\Documents%20and%20Settings\lx\My%20Documents\F&#36130;&#25919;&#20379;&#20859;&#20154;&#21592;&#20449;&#24687;&#31995;&#32479;F\&#25945;&#32946;&#20449;&#24687;2&#29256;\&#36213;&#2684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22266;&#23450;&#24615;-&#36716;&#31227;&#25903;&#20184;&#26126;&#32454;(2018&#24180;-%20).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2023&#24180;&#39044;&#31639;&#25191;&#34892;-9&#26376;-&#35843;&#25972;&#29992;.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2023&#24180;&#36164;&#26009;\2023&#24180;&#39044;&#31639;\2023&#24180;&#25919;&#24220;&#24615;&#22522;&#37329;&#39044;&#31639;(12.16).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2023&#24180;&#25919;&#24220;&#24615;&#22522;&#37329;&#39044;&#31639;&#35843;&#25972;(10.16).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Users\l\Desktop\2023&#24180;&#39044;&#31639;&#35843;&#25972;-&#24037;&#20316;&#24213;&#31295;1026.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2023&#24180;&#25919;&#24220;&#24615;&#22522;&#37329;&#39044;&#31639;&#35843;&#25972;(11.1).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01收入"/>
      <sheetName val="02支出"/>
      <sheetName val="03收支平衡"/>
      <sheetName val="04政府性基金收支-开"/>
      <sheetName val="05政府性基金收支-铁"/>
      <sheetName val="06社保基金-开"/>
      <sheetName val="07社保基金-铁"/>
      <sheetName val="08债券资金明细"/>
      <sheetName val="09新增债券项目安排"/>
      <sheetName val="10债务限额及余额"/>
    </sheetNames>
    <sheetDataSet>
      <sheetData sheetId="0"/>
      <sheetData sheetId="1"/>
      <sheetData sheetId="2">
        <row r="6">
          <cell r="K6">
            <v>102584</v>
          </cell>
          <cell r="L6">
            <v>86051</v>
          </cell>
          <cell r="M6">
            <v>16533</v>
          </cell>
        </row>
      </sheetData>
      <sheetData sheetId="3"/>
      <sheetData sheetId="4"/>
      <sheetData sheetId="5"/>
      <sheetData sheetId="6"/>
      <sheetData sheetId="7"/>
      <sheetData sheetId="8"/>
      <sheetData sheetId="9"/>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Main"/>
      <sheetName val="01收入调整"/>
      <sheetName val="功能项级分类（开）"/>
      <sheetName val="功能项级分类（铁）"/>
    </sheetNames>
    <sheetDataSet>
      <sheetData sheetId="0" refreshError="1"/>
      <sheetData sheetId="1" refreshError="1"/>
      <sheetData sheetId="2" refreshError="1"/>
      <sheetData sheetId="3"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P1012001"/>
      <sheetName val=""/>
      <sheetName val="各年度收费、罚没、专项收入.xls_Sheet3"/>
      <sheetName val="表二"/>
      <sheetName val="表五"/>
      <sheetName val="2012.2.2 (整合)"/>
      <sheetName val="2012.2.2"/>
      <sheetName val="全市结转"/>
      <sheetName val="提前告知数"/>
      <sheetName val="总人口"/>
      <sheetName val="基础编码"/>
      <sheetName val="省本级收入预计"/>
      <sheetName val="区划对应表"/>
      <sheetName val="1-4余额表"/>
      <sheetName val="四月份月报"/>
      <sheetName val="XL4Poppy"/>
      <sheetName val="DDETABLE "/>
      <sheetName val="#REF"/>
      <sheetName val="Mai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Financ. Overview"/>
      <sheetName val="Toolbox"/>
      <sheetName val="P1012001"/>
    </sheetNames>
    <sheetDataSet>
      <sheetData sheetId="0" refreshError="1"/>
      <sheetData sheetId="1" refreshError="1"/>
      <sheetData sheetId="2"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Toolbox"/>
      <sheetName val="Financ. Overview"/>
    </sheetNames>
    <sheetDataSet>
      <sheetData sheetId="0" refreshError="1"/>
      <sheetData sheetId="1"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Toolbox"/>
    </sheetNames>
    <sheetDataSet>
      <sheetData sheetId="0"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POWER ASSUMPTIONS"/>
      <sheetName val="Toolbox"/>
    </sheetNames>
    <sheetDataSet>
      <sheetData sheetId="0" refreshError="1"/>
      <sheetData sheetId="1"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单位信息录入表"/>
      <sheetName val="人员信息录入表"/>
      <sheetName val="基础编码"/>
      <sheetName val="POWER ASSUMPTIONS"/>
    </sheetNames>
    <sheetDataSet>
      <sheetData sheetId="0" refreshError="1"/>
      <sheetData sheetId="1" refreshError="1"/>
      <sheetData sheetId="2" refreshError="1"/>
      <sheetData sheetId="3"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单位信息录入表"/>
      <sheetName val="人员信息录入表"/>
      <sheetName val="基础编码"/>
    </sheetNames>
    <sheetDataSet>
      <sheetData sheetId="0" refreshError="1"/>
      <sheetData sheetId="1" refreshError="1"/>
      <sheetData sheetId="2"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单位信息录入表"/>
      <sheetName val="人员信息录入表"/>
      <sheetName val="基础编码"/>
    </sheetNames>
    <sheetDataSet>
      <sheetData sheetId="0" refreshError="1"/>
      <sheetData sheetId="1" refreshError="1"/>
      <sheetData sheetId="2"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单位信息录入表"/>
      <sheetName val="人员信息录入表"/>
      <sheetName val="基础编码"/>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Macro1"/>
      <sheetName val="2018年结算单"/>
      <sheetName val="2019年结算单"/>
      <sheetName val="2020年结算单"/>
      <sheetName val="2021年结算单"/>
      <sheetName val="2021年专款明细"/>
      <sheetName val="2022年结算单"/>
      <sheetName val="固定性转移支付明细"/>
      <sheetName val="固定性转移支付明细 (2)"/>
      <sheetName val="基础编码"/>
    </sheetNames>
    <sheetDataSet>
      <sheetData sheetId="0"/>
      <sheetData sheetId="1"/>
      <sheetData sheetId="2"/>
      <sheetData sheetId="3"/>
      <sheetData sheetId="4"/>
      <sheetData sheetId="5"/>
      <sheetData sheetId="6"/>
      <sheetData sheetId="7"/>
      <sheetData sheetId="8"/>
      <sheetData sheetId="9"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汇总"/>
      <sheetName val="功能项级分类（开）"/>
      <sheetName val="分单位-开"/>
      <sheetName val="功能项级分类（铁）"/>
      <sheetName val="分单位-铁"/>
      <sheetName val="基本支出总表（开）"/>
      <sheetName val="基本支出总表（铁）"/>
      <sheetName val="项目支出总表（开）"/>
      <sheetName val="项目支出总表（铁）"/>
      <sheetName val="执行-开"/>
      <sheetName val="执行-铁"/>
      <sheetName val="计划-开"/>
      <sheetName val="计划-铁"/>
      <sheetName val="转移支付"/>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6">
          <cell r="K6">
            <v>10.4625</v>
          </cell>
        </row>
        <row r="6">
          <cell r="S6">
            <v>2</v>
          </cell>
        </row>
      </sheetData>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4.xml><?xml version="1.0" encoding="utf-8"?>
<externalLink xmlns="http://schemas.openxmlformats.org/spreadsheetml/2006/main">
  <externalBook xmlns:r="http://schemas.openxmlformats.org/officeDocument/2006/relationships" r:id="rId1">
    <sheetNames>
      <sheetName val="基金预算平衡表"/>
      <sheetName val="收入表"/>
      <sheetName val="基金收入明细表"/>
      <sheetName val="支出表"/>
      <sheetName val="基金支出项目表"/>
      <sheetName val="单位项目明细"/>
      <sheetName val="黄金山片项目"/>
      <sheetName val="铁山片项目"/>
    </sheetNames>
    <sheetDataSet>
      <sheetData sheetId="0" refreshError="1"/>
      <sheetData sheetId="1" refreshError="1">
        <row r="8">
          <cell r="G8">
            <v>267000</v>
          </cell>
        </row>
        <row r="9">
          <cell r="G9">
            <v>1000</v>
          </cell>
        </row>
        <row r="12">
          <cell r="G12">
            <v>1000</v>
          </cell>
        </row>
      </sheetData>
      <sheetData sheetId="2" refreshError="1"/>
      <sheetData sheetId="3" refreshError="1">
        <row r="21">
          <cell r="F21">
            <v>500</v>
          </cell>
        </row>
        <row r="33">
          <cell r="F33">
            <v>52</v>
          </cell>
        </row>
        <row r="35">
          <cell r="F35">
            <v>22555</v>
          </cell>
        </row>
      </sheetData>
      <sheetData sheetId="4" refreshError="1">
        <row r="12">
          <cell r="F12">
            <v>54448</v>
          </cell>
        </row>
        <row r="57">
          <cell r="F57">
            <v>2000</v>
          </cell>
        </row>
        <row r="59">
          <cell r="F59">
            <v>66355</v>
          </cell>
        </row>
        <row r="71">
          <cell r="F71">
            <v>6680</v>
          </cell>
        </row>
        <row r="77">
          <cell r="F77">
            <v>1038</v>
          </cell>
        </row>
        <row r="82">
          <cell r="F82">
            <v>760</v>
          </cell>
        </row>
        <row r="86">
          <cell r="F86">
            <v>67431</v>
          </cell>
        </row>
        <row r="96">
          <cell r="F96">
            <v>5400</v>
          </cell>
        </row>
        <row r="99">
          <cell r="F99">
            <v>200</v>
          </cell>
        </row>
        <row r="101">
          <cell r="F101">
            <v>538</v>
          </cell>
        </row>
        <row r="110">
          <cell r="F110">
            <v>14034</v>
          </cell>
        </row>
      </sheetData>
      <sheetData sheetId="5" refreshError="1"/>
      <sheetData sheetId="6" refreshError="1"/>
      <sheetData sheetId="7" refreshError="1"/>
    </sheetDataSet>
  </externalBook>
</externalLink>
</file>

<file path=xl/externalLinks/externalLink15.xml><?xml version="1.0" encoding="utf-8"?>
<externalLink xmlns="http://schemas.openxmlformats.org/spreadsheetml/2006/main">
  <externalBook xmlns:r="http://schemas.openxmlformats.org/officeDocument/2006/relationships" r:id="rId1">
    <sheetNames>
      <sheetName val="基金预算平衡表"/>
      <sheetName val="收入表"/>
      <sheetName val="基金收入明细表"/>
      <sheetName val="支出表"/>
      <sheetName val="基金支出项目表"/>
      <sheetName val="部门预算汇总"/>
      <sheetName val="黄金山片项目"/>
      <sheetName val="铁山片项目"/>
    </sheetNames>
    <sheetDataSet>
      <sheetData sheetId="0"/>
      <sheetData sheetId="1">
        <row r="6">
          <cell r="F6">
            <v>7216</v>
          </cell>
        </row>
        <row r="8">
          <cell r="F8">
            <v>247995</v>
          </cell>
        </row>
        <row r="9">
          <cell r="F9">
            <v>1592</v>
          </cell>
        </row>
        <row r="10">
          <cell r="F10">
            <v>-1113</v>
          </cell>
        </row>
        <row r="10">
          <cell r="H10">
            <v>-2000</v>
          </cell>
        </row>
        <row r="12">
          <cell r="F12">
            <v>2133</v>
          </cell>
        </row>
      </sheetData>
      <sheetData sheetId="2"/>
      <sheetData sheetId="3">
        <row r="6">
          <cell r="E6">
            <v>6994</v>
          </cell>
        </row>
        <row r="11">
          <cell r="E11">
            <v>17724</v>
          </cell>
        </row>
        <row r="12">
          <cell r="E12">
            <v>31833</v>
          </cell>
        </row>
        <row r="13">
          <cell r="E13">
            <v>72860</v>
          </cell>
        </row>
        <row r="14">
          <cell r="E14">
            <v>2872</v>
          </cell>
        </row>
        <row r="15">
          <cell r="E15">
            <v>756</v>
          </cell>
        </row>
        <row r="16">
          <cell r="E16">
            <v>857</v>
          </cell>
        </row>
        <row r="17">
          <cell r="E17">
            <v>82894</v>
          </cell>
        </row>
        <row r="18">
          <cell r="E18">
            <v>4738</v>
          </cell>
        </row>
        <row r="19">
          <cell r="E19">
            <v>0</v>
          </cell>
        </row>
        <row r="20">
          <cell r="E20">
            <v>200</v>
          </cell>
        </row>
        <row r="22">
          <cell r="E22">
            <v>133</v>
          </cell>
        </row>
        <row r="27">
          <cell r="E27">
            <v>252</v>
          </cell>
        </row>
        <row r="27">
          <cell r="G27">
            <v>49</v>
          </cell>
        </row>
        <row r="28">
          <cell r="E28">
            <v>153</v>
          </cell>
        </row>
        <row r="28">
          <cell r="G28">
            <v>2</v>
          </cell>
        </row>
        <row r="29">
          <cell r="E29">
            <v>39</v>
          </cell>
        </row>
        <row r="31">
          <cell r="E31">
            <v>10536</v>
          </cell>
        </row>
        <row r="33">
          <cell r="E33">
            <v>57</v>
          </cell>
        </row>
        <row r="35">
          <cell r="G35">
            <v>22555</v>
          </cell>
        </row>
      </sheetData>
      <sheetData sheetId="4"/>
      <sheetData sheetId="5"/>
      <sheetData sheetId="6"/>
      <sheetData sheetId="7"/>
    </sheetDataSet>
  </externalBook>
</externalLink>
</file>

<file path=xl/externalLinks/externalLink16.xml><?xml version="1.0" encoding="utf-8"?>
<externalLink xmlns="http://schemas.openxmlformats.org/spreadsheetml/2006/main">
  <externalBook xmlns:r="http://schemas.openxmlformats.org/officeDocument/2006/relationships" r:id="rId1">
    <sheetNames>
      <sheetName val="01收入调整"/>
      <sheetName val="04收支平衡"/>
      <sheetName val="04附1固定转移支付"/>
      <sheetName val="04附2结算转移支付（截至9月末）"/>
      <sheetName val="06基金预算平衡表"/>
      <sheetName val="07国有资本经营"/>
      <sheetName val="08债务限额及余额"/>
      <sheetName val="09债券资金明细"/>
      <sheetName val="10新增债券项目安排"/>
      <sheetName val="汇总"/>
      <sheetName val="功能项级分类（开）"/>
      <sheetName val="分单位-开"/>
      <sheetName val="功能项级分类（铁）"/>
      <sheetName val="分单位-铁"/>
      <sheetName val="基本支出总表（开）"/>
      <sheetName val="基本支出总表（铁）"/>
      <sheetName val="项目支出总表（开）"/>
      <sheetName val="项目支出总表（铁）"/>
      <sheetName val="执行-开"/>
      <sheetName val="执行-铁"/>
      <sheetName val="计划-开"/>
      <sheetName val="计划-铁"/>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row r="3">
          <cell r="C3" t="str">
            <v>功能科目编码</v>
          </cell>
        </row>
        <row r="3">
          <cell r="M3" t="str">
            <v>合计</v>
          </cell>
        </row>
        <row r="4">
          <cell r="P4" t="str">
            <v>支付金额</v>
          </cell>
        </row>
        <row r="5">
          <cell r="C5">
            <v>3</v>
          </cell>
        </row>
        <row r="6">
          <cell r="M6">
            <v>42643.979554</v>
          </cell>
        </row>
        <row r="6">
          <cell r="O6">
            <v>34559.093048</v>
          </cell>
          <cell r="P6">
            <v>30785.70464</v>
          </cell>
          <cell r="Q6">
            <v>8084.886506</v>
          </cell>
          <cell r="R6">
            <v>32388.655144</v>
          </cell>
          <cell r="S6">
            <v>1602.950504</v>
          </cell>
          <cell r="T6">
            <v>11858.274914</v>
          </cell>
        </row>
        <row r="7">
          <cell r="M7">
            <v>988.469666</v>
          </cell>
        </row>
        <row r="7">
          <cell r="P7">
            <v>839.854681</v>
          </cell>
        </row>
        <row r="8">
          <cell r="C8" t="str">
            <v>2010301</v>
          </cell>
        </row>
        <row r="8">
          <cell r="M8">
            <v>437.07868</v>
          </cell>
        </row>
        <row r="8">
          <cell r="P8">
            <v>405.940052</v>
          </cell>
        </row>
        <row r="9">
          <cell r="C9" t="str">
            <v>2010301</v>
          </cell>
        </row>
        <row r="9">
          <cell r="M9">
            <v>3.8</v>
          </cell>
        </row>
        <row r="9">
          <cell r="P9">
            <v>1.9</v>
          </cell>
        </row>
        <row r="10">
          <cell r="C10" t="str">
            <v>2010301</v>
          </cell>
        </row>
        <row r="10">
          <cell r="M10">
            <v>20.643241</v>
          </cell>
        </row>
        <row r="10">
          <cell r="P10">
            <v>20.643241</v>
          </cell>
        </row>
        <row r="11">
          <cell r="C11" t="str">
            <v>2010301</v>
          </cell>
        </row>
        <row r="11">
          <cell r="M11">
            <v>153.66</v>
          </cell>
        </row>
        <row r="11">
          <cell r="P11">
            <v>51.736109</v>
          </cell>
        </row>
        <row r="12">
          <cell r="C12" t="str">
            <v>2010301</v>
          </cell>
        </row>
        <row r="12">
          <cell r="M12">
            <v>55.048642</v>
          </cell>
        </row>
        <row r="12">
          <cell r="P12">
            <v>55.048642</v>
          </cell>
        </row>
        <row r="13">
          <cell r="C13" t="str">
            <v>2010301</v>
          </cell>
        </row>
        <row r="13">
          <cell r="M13">
            <v>31</v>
          </cell>
        </row>
        <row r="13">
          <cell r="P13">
            <v>28.137031</v>
          </cell>
        </row>
        <row r="14">
          <cell r="C14" t="str">
            <v>2010301</v>
          </cell>
        </row>
        <row r="14">
          <cell r="M14">
            <v>117.086112</v>
          </cell>
        </row>
        <row r="14">
          <cell r="P14">
            <v>109.334629</v>
          </cell>
        </row>
        <row r="15">
          <cell r="C15" t="str">
            <v>2010301</v>
          </cell>
        </row>
        <row r="15">
          <cell r="M15">
            <v>152.496391</v>
          </cell>
        </row>
        <row r="15">
          <cell r="P15">
            <v>152.015581</v>
          </cell>
        </row>
        <row r="16">
          <cell r="C16" t="str">
            <v>2010301</v>
          </cell>
        </row>
        <row r="16">
          <cell r="M16">
            <v>17.6566</v>
          </cell>
        </row>
        <row r="16">
          <cell r="P16">
            <v>15.099396</v>
          </cell>
        </row>
        <row r="17">
          <cell r="M17">
            <v>656.945936</v>
          </cell>
        </row>
        <row r="17">
          <cell r="P17">
            <v>524.179284</v>
          </cell>
        </row>
        <row r="18">
          <cell r="C18" t="str">
            <v>2013201</v>
          </cell>
        </row>
        <row r="18">
          <cell r="M18">
            <v>226.212492</v>
          </cell>
        </row>
        <row r="18">
          <cell r="P18">
            <v>208.00161</v>
          </cell>
        </row>
        <row r="19">
          <cell r="C19" t="str">
            <v>2013201</v>
          </cell>
        </row>
        <row r="19">
          <cell r="M19">
            <v>64.029427</v>
          </cell>
        </row>
        <row r="19">
          <cell r="P19">
            <v>58.104255</v>
          </cell>
        </row>
        <row r="20">
          <cell r="C20" t="str">
            <v>2013201</v>
          </cell>
        </row>
        <row r="20">
          <cell r="M20">
            <v>31.155546</v>
          </cell>
        </row>
        <row r="20">
          <cell r="P20">
            <v>28.201343</v>
          </cell>
        </row>
        <row r="21">
          <cell r="C21" t="str">
            <v>2013201</v>
          </cell>
        </row>
        <row r="21">
          <cell r="M21">
            <v>22.836924</v>
          </cell>
        </row>
        <row r="21">
          <cell r="P21">
            <v>20.761056</v>
          </cell>
        </row>
        <row r="22">
          <cell r="C22" t="str">
            <v>2013201</v>
          </cell>
        </row>
        <row r="22">
          <cell r="M22">
            <v>8.563847</v>
          </cell>
        </row>
        <row r="22">
          <cell r="P22">
            <v>7.100883</v>
          </cell>
        </row>
        <row r="23">
          <cell r="C23" t="str">
            <v>2013201</v>
          </cell>
        </row>
        <row r="23">
          <cell r="M23">
            <v>15</v>
          </cell>
        </row>
        <row r="23">
          <cell r="P23">
            <v>10.8925</v>
          </cell>
        </row>
        <row r="24">
          <cell r="C24" t="str">
            <v>2013201</v>
          </cell>
        </row>
        <row r="24">
          <cell r="M24">
            <v>11.84</v>
          </cell>
        </row>
        <row r="24">
          <cell r="P24">
            <v>9.844366</v>
          </cell>
        </row>
        <row r="25">
          <cell r="C25" t="str">
            <v>2013201</v>
          </cell>
        </row>
        <row r="25">
          <cell r="M25">
            <v>265.8797</v>
          </cell>
        </row>
        <row r="25">
          <cell r="P25">
            <v>177.040873</v>
          </cell>
        </row>
        <row r="26">
          <cell r="C26" t="str">
            <v>2013201</v>
          </cell>
        </row>
        <row r="26">
          <cell r="M26">
            <v>11.428</v>
          </cell>
        </row>
        <row r="26">
          <cell r="P26">
            <v>4.232398</v>
          </cell>
        </row>
        <row r="27">
          <cell r="M27">
            <v>775.184659</v>
          </cell>
        </row>
        <row r="27">
          <cell r="P27">
            <v>691.841559</v>
          </cell>
        </row>
        <row r="28">
          <cell r="C28" t="str">
            <v>2011101</v>
          </cell>
        </row>
        <row r="28">
          <cell r="M28">
            <v>143.4794</v>
          </cell>
        </row>
        <row r="28">
          <cell r="P28">
            <v>142.787183</v>
          </cell>
        </row>
        <row r="29">
          <cell r="C29" t="str">
            <v>2011101</v>
          </cell>
        </row>
        <row r="29">
          <cell r="M29">
            <v>22.0116</v>
          </cell>
        </row>
        <row r="29">
          <cell r="P29">
            <v>17.928394</v>
          </cell>
        </row>
        <row r="30">
          <cell r="C30" t="str">
            <v>2011101</v>
          </cell>
        </row>
        <row r="30">
          <cell r="M30">
            <v>54.164</v>
          </cell>
        </row>
        <row r="30">
          <cell r="P30">
            <v>22.471358</v>
          </cell>
        </row>
        <row r="31">
          <cell r="C31" t="str">
            <v>2011101</v>
          </cell>
        </row>
        <row r="31">
          <cell r="M31">
            <v>2.728004</v>
          </cell>
        </row>
        <row r="31">
          <cell r="P31">
            <v>1.57515</v>
          </cell>
        </row>
        <row r="32">
          <cell r="C32" t="str">
            <v>2011101</v>
          </cell>
        </row>
        <row r="32">
          <cell r="M32">
            <v>53.870407</v>
          </cell>
        </row>
        <row r="32">
          <cell r="P32">
            <v>52.104849</v>
          </cell>
        </row>
        <row r="33">
          <cell r="C33" t="str">
            <v>2011101</v>
          </cell>
        </row>
        <row r="33">
          <cell r="M33">
            <v>20.201403</v>
          </cell>
        </row>
        <row r="33">
          <cell r="P33">
            <v>20.201403</v>
          </cell>
        </row>
        <row r="34">
          <cell r="C34" t="str">
            <v>2011101</v>
          </cell>
        </row>
        <row r="34">
          <cell r="M34">
            <v>443.229845</v>
          </cell>
        </row>
        <row r="34">
          <cell r="P34">
            <v>412.812299</v>
          </cell>
        </row>
        <row r="35">
          <cell r="C35" t="str">
            <v>2011101</v>
          </cell>
        </row>
        <row r="35">
          <cell r="M35">
            <v>0.5</v>
          </cell>
        </row>
        <row r="35">
          <cell r="P35">
            <v>0.5</v>
          </cell>
        </row>
        <row r="36">
          <cell r="C36" t="str">
            <v>2011101</v>
          </cell>
        </row>
        <row r="36">
          <cell r="M36">
            <v>35</v>
          </cell>
        </row>
        <row r="36">
          <cell r="P36">
            <v>21.460923</v>
          </cell>
        </row>
        <row r="37">
          <cell r="M37">
            <v>499.43674</v>
          </cell>
        </row>
        <row r="37">
          <cell r="P37">
            <v>415.286909</v>
          </cell>
        </row>
        <row r="38">
          <cell r="C38" t="str">
            <v>2013601</v>
          </cell>
        </row>
        <row r="38">
          <cell r="M38">
            <v>26.78184</v>
          </cell>
        </row>
        <row r="38">
          <cell r="P38">
            <v>24.713452</v>
          </cell>
        </row>
        <row r="39">
          <cell r="C39" t="str">
            <v>2013601</v>
          </cell>
        </row>
        <row r="39">
          <cell r="M39">
            <v>9.493859</v>
          </cell>
        </row>
        <row r="39">
          <cell r="P39">
            <v>7.286677</v>
          </cell>
        </row>
        <row r="40">
          <cell r="C40" t="str">
            <v>2013601</v>
          </cell>
        </row>
        <row r="40">
          <cell r="M40">
            <v>1.2</v>
          </cell>
        </row>
        <row r="40">
          <cell r="P40">
            <v>0.6</v>
          </cell>
        </row>
        <row r="41">
          <cell r="C41" t="str">
            <v>2013601</v>
          </cell>
        </row>
        <row r="41">
          <cell r="M41">
            <v>17</v>
          </cell>
        </row>
        <row r="41">
          <cell r="P41">
            <v>6.396149</v>
          </cell>
        </row>
        <row r="42">
          <cell r="C42" t="str">
            <v>2013601</v>
          </cell>
        </row>
        <row r="42">
          <cell r="M42">
            <v>11.548</v>
          </cell>
        </row>
        <row r="42">
          <cell r="P42">
            <v>5.645646</v>
          </cell>
        </row>
        <row r="43">
          <cell r="C43" t="str">
            <v>2013601</v>
          </cell>
        </row>
        <row r="43">
          <cell r="M43">
            <v>75.628254</v>
          </cell>
        </row>
        <row r="43">
          <cell r="P43">
            <v>68.123219</v>
          </cell>
        </row>
        <row r="44">
          <cell r="C44" t="str">
            <v>2013601</v>
          </cell>
        </row>
        <row r="44">
          <cell r="M44">
            <v>234.179597</v>
          </cell>
        </row>
        <row r="44">
          <cell r="P44">
            <v>209.120193</v>
          </cell>
        </row>
        <row r="45">
          <cell r="C45" t="str">
            <v>2013601</v>
          </cell>
        </row>
        <row r="45">
          <cell r="M45">
            <v>113.562</v>
          </cell>
        </row>
        <row r="45">
          <cell r="P45">
            <v>87.313933</v>
          </cell>
        </row>
        <row r="46">
          <cell r="C46" t="str">
            <v>2013601</v>
          </cell>
        </row>
        <row r="46">
          <cell r="M46">
            <v>10.04319</v>
          </cell>
        </row>
        <row r="46">
          <cell r="P46">
            <v>6.08764</v>
          </cell>
        </row>
        <row r="47">
          <cell r="M47">
            <v>20.750457</v>
          </cell>
        </row>
        <row r="47">
          <cell r="P47">
            <v>16.881726</v>
          </cell>
        </row>
        <row r="48">
          <cell r="C48" t="str">
            <v>2010301</v>
          </cell>
        </row>
        <row r="48">
          <cell r="M48">
            <v>3.799552</v>
          </cell>
        </row>
        <row r="48">
          <cell r="P48">
            <v>3.794941</v>
          </cell>
        </row>
        <row r="49">
          <cell r="C49" t="str">
            <v>2010301</v>
          </cell>
        </row>
        <row r="49">
          <cell r="M49">
            <v>1</v>
          </cell>
        </row>
        <row r="49">
          <cell r="P49">
            <v>0.66726</v>
          </cell>
        </row>
        <row r="50">
          <cell r="C50" t="str">
            <v>2010301</v>
          </cell>
        </row>
        <row r="50">
          <cell r="M50">
            <v>14.2073</v>
          </cell>
        </row>
        <row r="50">
          <cell r="P50">
            <v>10.702527</v>
          </cell>
        </row>
        <row r="51">
          <cell r="C51" t="str">
            <v>2010301</v>
          </cell>
        </row>
        <row r="51">
          <cell r="M51">
            <v>1.268076</v>
          </cell>
        </row>
        <row r="51">
          <cell r="P51">
            <v>1.268052</v>
          </cell>
        </row>
        <row r="52">
          <cell r="C52" t="str">
            <v>2010301</v>
          </cell>
        </row>
        <row r="52">
          <cell r="M52">
            <v>0.475529</v>
          </cell>
        </row>
        <row r="52">
          <cell r="P52">
            <v>0.448946</v>
          </cell>
        </row>
        <row r="53">
          <cell r="M53">
            <v>870.892356</v>
          </cell>
        </row>
        <row r="53">
          <cell r="P53">
            <v>705.210318</v>
          </cell>
        </row>
        <row r="54">
          <cell r="C54" t="str">
            <v>2013801</v>
          </cell>
        </row>
        <row r="54">
          <cell r="M54">
            <v>37</v>
          </cell>
        </row>
        <row r="54">
          <cell r="P54">
            <v>35.054084</v>
          </cell>
        </row>
        <row r="55">
          <cell r="C55" t="str">
            <v>2013801</v>
          </cell>
        </row>
        <row r="55">
          <cell r="M55">
            <v>58.716</v>
          </cell>
        </row>
        <row r="55">
          <cell r="P55">
            <v>24.318237</v>
          </cell>
        </row>
        <row r="56">
          <cell r="C56" t="str">
            <v>2013801</v>
          </cell>
        </row>
        <row r="56">
          <cell r="M56">
            <v>22.473765</v>
          </cell>
        </row>
        <row r="56">
          <cell r="P56">
            <v>22.458606</v>
          </cell>
        </row>
        <row r="57">
          <cell r="C57" t="str">
            <v>2013801</v>
          </cell>
        </row>
        <row r="57">
          <cell r="M57">
            <v>0.9</v>
          </cell>
        </row>
        <row r="57">
          <cell r="P57">
            <v>0.896</v>
          </cell>
        </row>
        <row r="58">
          <cell r="C58" t="str">
            <v>2013801</v>
          </cell>
        </row>
        <row r="58">
          <cell r="M58">
            <v>5.317731</v>
          </cell>
        </row>
        <row r="58">
          <cell r="P58">
            <v>1.477458</v>
          </cell>
        </row>
        <row r="59">
          <cell r="C59" t="str">
            <v>2013801</v>
          </cell>
        </row>
        <row r="59">
          <cell r="M59">
            <v>476.70098</v>
          </cell>
        </row>
        <row r="59">
          <cell r="P59">
            <v>411.366952</v>
          </cell>
        </row>
        <row r="60">
          <cell r="C60" t="str">
            <v>2013801</v>
          </cell>
        </row>
        <row r="60">
          <cell r="M60">
            <v>161.326646</v>
          </cell>
        </row>
        <row r="60">
          <cell r="P60">
            <v>119.262733</v>
          </cell>
        </row>
        <row r="61">
          <cell r="C61" t="str">
            <v>2013801</v>
          </cell>
        </row>
        <row r="61">
          <cell r="M61">
            <v>59.930038</v>
          </cell>
        </row>
        <row r="61">
          <cell r="P61">
            <v>54.707163</v>
          </cell>
        </row>
        <row r="62">
          <cell r="C62" t="str">
            <v>2013801</v>
          </cell>
        </row>
        <row r="62">
          <cell r="M62">
            <v>48.527196</v>
          </cell>
        </row>
        <row r="62">
          <cell r="P62">
            <v>35.669085</v>
          </cell>
        </row>
        <row r="63">
          <cell r="M63">
            <v>489.148682</v>
          </cell>
        </row>
        <row r="63">
          <cell r="P63">
            <v>457.211526</v>
          </cell>
        </row>
        <row r="64">
          <cell r="C64" t="str">
            <v>2010601</v>
          </cell>
        </row>
        <row r="64">
          <cell r="M64">
            <v>12.707926</v>
          </cell>
        </row>
        <row r="64">
          <cell r="P64">
            <v>9.339967</v>
          </cell>
        </row>
        <row r="65">
          <cell r="C65" t="str">
            <v>2010601</v>
          </cell>
        </row>
        <row r="65">
          <cell r="M65">
            <v>22</v>
          </cell>
        </row>
        <row r="65">
          <cell r="P65">
            <v>14.672084</v>
          </cell>
        </row>
        <row r="66">
          <cell r="C66" t="str">
            <v>2010601</v>
          </cell>
        </row>
        <row r="66">
          <cell r="M66">
            <v>4.59265</v>
          </cell>
        </row>
        <row r="66">
          <cell r="P66">
            <v>3.48275</v>
          </cell>
        </row>
        <row r="67">
          <cell r="C67" t="str">
            <v>2010601</v>
          </cell>
        </row>
        <row r="67">
          <cell r="M67">
            <v>34.697208</v>
          </cell>
        </row>
        <row r="67">
          <cell r="P67">
            <v>31.193698</v>
          </cell>
        </row>
        <row r="68">
          <cell r="C68" t="str">
            <v>2010601</v>
          </cell>
        </row>
        <row r="68">
          <cell r="M68">
            <v>8.328</v>
          </cell>
        </row>
        <row r="68">
          <cell r="P68">
            <v>5.309516</v>
          </cell>
        </row>
        <row r="69">
          <cell r="C69" t="str">
            <v>2010601</v>
          </cell>
        </row>
        <row r="69">
          <cell r="M69">
            <v>274.07036</v>
          </cell>
        </row>
        <row r="69">
          <cell r="P69">
            <v>271.927085</v>
          </cell>
        </row>
        <row r="70">
          <cell r="C70" t="str">
            <v>2010601</v>
          </cell>
        </row>
        <row r="70">
          <cell r="M70">
            <v>97.874735</v>
          </cell>
        </row>
        <row r="70">
          <cell r="P70">
            <v>86.998123</v>
          </cell>
        </row>
        <row r="71">
          <cell r="C71" t="str">
            <v>2010601</v>
          </cell>
        </row>
        <row r="71">
          <cell r="M71">
            <v>33.887803</v>
          </cell>
        </row>
        <row r="71">
          <cell r="P71">
            <v>33.887803</v>
          </cell>
        </row>
        <row r="72">
          <cell r="C72" t="str">
            <v>2010601</v>
          </cell>
        </row>
        <row r="72">
          <cell r="M72">
            <v>0.99</v>
          </cell>
        </row>
        <row r="72">
          <cell r="P72">
            <v>0.4005</v>
          </cell>
        </row>
        <row r="73">
          <cell r="M73">
            <v>186.867267</v>
          </cell>
        </row>
        <row r="73">
          <cell r="P73">
            <v>165.631826</v>
          </cell>
        </row>
        <row r="74">
          <cell r="C74" t="str">
            <v>2010801</v>
          </cell>
        </row>
        <row r="74">
          <cell r="M74">
            <v>4.648658</v>
          </cell>
        </row>
        <row r="74">
          <cell r="P74">
            <v>4.17527</v>
          </cell>
        </row>
        <row r="75">
          <cell r="C75" t="str">
            <v>2010801</v>
          </cell>
        </row>
        <row r="75">
          <cell r="M75">
            <v>0.6</v>
          </cell>
        </row>
        <row r="75">
          <cell r="P75">
            <v>0.36</v>
          </cell>
        </row>
        <row r="76">
          <cell r="C76" t="str">
            <v>2010801</v>
          </cell>
        </row>
        <row r="76">
          <cell r="M76">
            <v>33.561836</v>
          </cell>
        </row>
        <row r="76">
          <cell r="P76">
            <v>30.924851</v>
          </cell>
        </row>
        <row r="77">
          <cell r="C77" t="str">
            <v>2010801</v>
          </cell>
        </row>
        <row r="77">
          <cell r="M77">
            <v>4.848</v>
          </cell>
        </row>
        <row r="77">
          <cell r="P77">
            <v>3.204804</v>
          </cell>
        </row>
        <row r="78">
          <cell r="C78" t="str">
            <v>2010801</v>
          </cell>
        </row>
        <row r="78">
          <cell r="M78">
            <v>8</v>
          </cell>
        </row>
        <row r="78">
          <cell r="P78">
            <v>3.825041</v>
          </cell>
        </row>
        <row r="79">
          <cell r="C79" t="str">
            <v>2010801</v>
          </cell>
        </row>
        <row r="79">
          <cell r="M79">
            <v>98.4555</v>
          </cell>
        </row>
        <row r="79">
          <cell r="P79">
            <v>92.333136</v>
          </cell>
        </row>
        <row r="80">
          <cell r="C80" t="str">
            <v>2010801</v>
          </cell>
        </row>
        <row r="80">
          <cell r="M80">
            <v>21.292404</v>
          </cell>
        </row>
        <row r="80">
          <cell r="P80">
            <v>16.937324</v>
          </cell>
        </row>
        <row r="81">
          <cell r="C81" t="str">
            <v>2010801</v>
          </cell>
        </row>
        <row r="81">
          <cell r="M81">
            <v>3.064449</v>
          </cell>
        </row>
        <row r="81">
          <cell r="P81">
            <v>2.395021</v>
          </cell>
        </row>
        <row r="82">
          <cell r="C82" t="str">
            <v>2010801</v>
          </cell>
        </row>
        <row r="82">
          <cell r="M82">
            <v>12.39642</v>
          </cell>
        </row>
        <row r="82">
          <cell r="P82">
            <v>11.476379</v>
          </cell>
        </row>
        <row r="83">
          <cell r="M83">
            <v>186.640553</v>
          </cell>
        </row>
        <row r="83">
          <cell r="P83">
            <v>164.334737</v>
          </cell>
        </row>
        <row r="84">
          <cell r="C84" t="str">
            <v>2012901</v>
          </cell>
        </row>
        <row r="84">
          <cell r="M84">
            <v>7</v>
          </cell>
        </row>
        <row r="84">
          <cell r="P84">
            <v>4.186313</v>
          </cell>
        </row>
        <row r="85">
          <cell r="C85" t="str">
            <v>2012901</v>
          </cell>
        </row>
        <row r="85">
          <cell r="M85">
            <v>29.793192</v>
          </cell>
        </row>
        <row r="85">
          <cell r="P85">
            <v>25.021653</v>
          </cell>
        </row>
        <row r="86">
          <cell r="C86" t="str">
            <v>2012901</v>
          </cell>
        </row>
        <row r="86">
          <cell r="M86">
            <v>4.130782</v>
          </cell>
        </row>
        <row r="86">
          <cell r="P86">
            <v>3.435561</v>
          </cell>
        </row>
        <row r="87">
          <cell r="C87" t="str">
            <v>2012901</v>
          </cell>
        </row>
        <row r="87">
          <cell r="M87">
            <v>92.8136</v>
          </cell>
        </row>
        <row r="87">
          <cell r="P87">
            <v>87.811194</v>
          </cell>
        </row>
        <row r="88">
          <cell r="C88" t="str">
            <v>2012901</v>
          </cell>
        </row>
        <row r="88">
          <cell r="M88">
            <v>32.385035</v>
          </cell>
        </row>
        <row r="88">
          <cell r="P88">
            <v>26.456294</v>
          </cell>
        </row>
        <row r="89">
          <cell r="C89" t="str">
            <v>2012901</v>
          </cell>
        </row>
        <row r="89">
          <cell r="M89">
            <v>11.591232</v>
          </cell>
        </row>
        <row r="89">
          <cell r="P89">
            <v>9.629203</v>
          </cell>
        </row>
        <row r="90">
          <cell r="C90" t="str">
            <v>2012901</v>
          </cell>
        </row>
        <row r="90">
          <cell r="M90">
            <v>3.78</v>
          </cell>
        </row>
        <row r="90">
          <cell r="P90">
            <v>2.647807</v>
          </cell>
        </row>
        <row r="91">
          <cell r="C91" t="str">
            <v>2012901</v>
          </cell>
        </row>
        <row r="91">
          <cell r="M91">
            <v>4.346712</v>
          </cell>
        </row>
        <row r="91">
          <cell r="P91">
            <v>4.346712</v>
          </cell>
        </row>
        <row r="92">
          <cell r="C92" t="str">
            <v>2012901</v>
          </cell>
        </row>
        <row r="92">
          <cell r="M92">
            <v>0.8</v>
          </cell>
        </row>
        <row r="92">
          <cell r="P92">
            <v>0.8</v>
          </cell>
        </row>
        <row r="93">
          <cell r="M93">
            <v>311.680627</v>
          </cell>
        </row>
        <row r="93">
          <cell r="P93">
            <v>259.099053</v>
          </cell>
        </row>
        <row r="94">
          <cell r="C94" t="str">
            <v>2013301</v>
          </cell>
        </row>
        <row r="94">
          <cell r="M94">
            <v>53.260876</v>
          </cell>
        </row>
        <row r="94">
          <cell r="P94">
            <v>53.190826</v>
          </cell>
        </row>
        <row r="95">
          <cell r="C95" t="str">
            <v>2013301</v>
          </cell>
        </row>
        <row r="95">
          <cell r="M95">
            <v>7.074971</v>
          </cell>
        </row>
        <row r="95">
          <cell r="P95">
            <v>4.86965</v>
          </cell>
        </row>
        <row r="96">
          <cell r="C96" t="str">
            <v>2013301</v>
          </cell>
        </row>
        <row r="96">
          <cell r="M96">
            <v>1.383715</v>
          </cell>
        </row>
        <row r="96">
          <cell r="P96">
            <v>0.824085</v>
          </cell>
        </row>
        <row r="97">
          <cell r="C97" t="str">
            <v>2013301</v>
          </cell>
        </row>
        <row r="97">
          <cell r="M97">
            <v>11</v>
          </cell>
        </row>
        <row r="97">
          <cell r="P97">
            <v>6.878853</v>
          </cell>
        </row>
        <row r="98">
          <cell r="C98" t="str">
            <v>2013301</v>
          </cell>
        </row>
        <row r="98">
          <cell r="M98">
            <v>18.866589</v>
          </cell>
        </row>
        <row r="98">
          <cell r="P98">
            <v>18.866589</v>
          </cell>
        </row>
        <row r="99">
          <cell r="C99" t="str">
            <v>2013301</v>
          </cell>
        </row>
        <row r="99">
          <cell r="M99">
            <v>7.008</v>
          </cell>
        </row>
        <row r="99">
          <cell r="P99">
            <v>5.273789</v>
          </cell>
        </row>
        <row r="100">
          <cell r="C100" t="str">
            <v>2013301</v>
          </cell>
        </row>
        <row r="100">
          <cell r="M100">
            <v>0.26</v>
          </cell>
        </row>
        <row r="100">
          <cell r="P100">
            <v>0.2</v>
          </cell>
        </row>
        <row r="101">
          <cell r="C101" t="str">
            <v>2013301</v>
          </cell>
        </row>
        <row r="101">
          <cell r="M101">
            <v>200.213576</v>
          </cell>
        </row>
        <row r="101">
          <cell r="P101">
            <v>156.629544</v>
          </cell>
        </row>
        <row r="102">
          <cell r="C102" t="str">
            <v>2013301</v>
          </cell>
        </row>
        <row r="102">
          <cell r="M102">
            <v>12.6129</v>
          </cell>
        </row>
        <row r="102">
          <cell r="P102">
            <v>12.365717</v>
          </cell>
        </row>
        <row r="103">
          <cell r="M103">
            <v>164.630383</v>
          </cell>
        </row>
        <row r="103">
          <cell r="P103">
            <v>148.924185</v>
          </cell>
        </row>
        <row r="104">
          <cell r="C104" t="str">
            <v>2013401</v>
          </cell>
        </row>
        <row r="104">
          <cell r="M104">
            <v>0.3</v>
          </cell>
        </row>
        <row r="104">
          <cell r="P104">
            <v>0.3</v>
          </cell>
        </row>
        <row r="105">
          <cell r="C105" t="str">
            <v>2013401</v>
          </cell>
        </row>
        <row r="105">
          <cell r="M105">
            <v>11.60013</v>
          </cell>
        </row>
        <row r="105">
          <cell r="P105">
            <v>11.60013</v>
          </cell>
        </row>
        <row r="106">
          <cell r="C106" t="str">
            <v>2013401</v>
          </cell>
        </row>
        <row r="106">
          <cell r="M106">
            <v>7</v>
          </cell>
        </row>
        <row r="106">
          <cell r="P106">
            <v>6.337285</v>
          </cell>
        </row>
        <row r="107">
          <cell r="C107" t="str">
            <v>2013401</v>
          </cell>
        </row>
        <row r="107">
          <cell r="M107">
            <v>4.350049</v>
          </cell>
        </row>
        <row r="107">
          <cell r="P107">
            <v>4.350049</v>
          </cell>
        </row>
        <row r="108">
          <cell r="C108" t="str">
            <v>2013401</v>
          </cell>
        </row>
        <row r="108">
          <cell r="M108">
            <v>4.008</v>
          </cell>
        </row>
        <row r="108">
          <cell r="P108">
            <v>1.801135</v>
          </cell>
        </row>
        <row r="109">
          <cell r="C109" t="str">
            <v>2013401</v>
          </cell>
        </row>
        <row r="109">
          <cell r="M109">
            <v>32.730426</v>
          </cell>
        </row>
        <row r="109">
          <cell r="P109">
            <v>29.869056</v>
          </cell>
        </row>
        <row r="110">
          <cell r="C110" t="str">
            <v>2013401</v>
          </cell>
        </row>
        <row r="110">
          <cell r="M110">
            <v>1.474022</v>
          </cell>
        </row>
        <row r="110">
          <cell r="P110">
            <v>1.264458</v>
          </cell>
        </row>
        <row r="111">
          <cell r="C111" t="str">
            <v>2013401</v>
          </cell>
        </row>
        <row r="111">
          <cell r="M111">
            <v>10.508004</v>
          </cell>
        </row>
        <row r="111">
          <cell r="P111">
            <v>8.903947</v>
          </cell>
        </row>
        <row r="112">
          <cell r="C112" t="str">
            <v>2013401</v>
          </cell>
        </row>
        <row r="112">
          <cell r="M112">
            <v>92.659752</v>
          </cell>
        </row>
        <row r="112">
          <cell r="P112">
            <v>84.498125</v>
          </cell>
        </row>
        <row r="113">
          <cell r="M113">
            <v>212.237737</v>
          </cell>
        </row>
        <row r="113">
          <cell r="P113">
            <v>202.465401</v>
          </cell>
        </row>
        <row r="114">
          <cell r="C114" t="str">
            <v>2013701</v>
          </cell>
        </row>
        <row r="114">
          <cell r="M114">
            <v>5.088</v>
          </cell>
        </row>
        <row r="114">
          <cell r="P114">
            <v>3.82529</v>
          </cell>
        </row>
        <row r="115">
          <cell r="C115" t="str">
            <v>2013701</v>
          </cell>
        </row>
        <row r="115">
          <cell r="M115">
            <v>16.129099</v>
          </cell>
        </row>
        <row r="115">
          <cell r="P115">
            <v>16.129099</v>
          </cell>
        </row>
        <row r="116">
          <cell r="C116" t="str">
            <v>2013701</v>
          </cell>
        </row>
        <row r="116">
          <cell r="M116">
            <v>44.65107</v>
          </cell>
        </row>
        <row r="116">
          <cell r="P116">
            <v>44.65107</v>
          </cell>
        </row>
        <row r="117">
          <cell r="C117" t="str">
            <v>2013701</v>
          </cell>
        </row>
        <row r="117">
          <cell r="M117">
            <v>129.321156</v>
          </cell>
        </row>
        <row r="117">
          <cell r="P117">
            <v>123.724819</v>
          </cell>
        </row>
        <row r="118">
          <cell r="C118" t="str">
            <v>2013701</v>
          </cell>
        </row>
        <row r="118">
          <cell r="M118">
            <v>11</v>
          </cell>
        </row>
        <row r="118">
          <cell r="P118">
            <v>8.086711</v>
          </cell>
        </row>
        <row r="119">
          <cell r="C119" t="str">
            <v>2013701</v>
          </cell>
        </row>
        <row r="119">
          <cell r="M119">
            <v>6.048412</v>
          </cell>
        </row>
        <row r="119">
          <cell r="P119">
            <v>6.048412</v>
          </cell>
        </row>
        <row r="120">
          <cell r="M120">
            <v>393.549942</v>
          </cell>
        </row>
        <row r="120">
          <cell r="P120">
            <v>274.171449</v>
          </cell>
        </row>
        <row r="121">
          <cell r="C121" t="str">
            <v>2150801</v>
          </cell>
        </row>
        <row r="121">
          <cell r="M121">
            <v>7.888</v>
          </cell>
        </row>
        <row r="121">
          <cell r="P121">
            <v>4.343737</v>
          </cell>
        </row>
        <row r="122">
          <cell r="C122" t="str">
            <v>2150801</v>
          </cell>
        </row>
        <row r="122">
          <cell r="M122">
            <v>315.673792</v>
          </cell>
        </row>
        <row r="122">
          <cell r="P122">
            <v>216.803684</v>
          </cell>
        </row>
        <row r="123">
          <cell r="C123" t="str">
            <v>2150801</v>
          </cell>
        </row>
        <row r="123">
          <cell r="M123">
            <v>5.274446</v>
          </cell>
        </row>
        <row r="123">
          <cell r="P123">
            <v>5.274446</v>
          </cell>
        </row>
        <row r="124">
          <cell r="C124" t="str">
            <v>2150801</v>
          </cell>
        </row>
        <row r="124">
          <cell r="M124">
            <v>14.065188</v>
          </cell>
        </row>
        <row r="124">
          <cell r="P124">
            <v>12.627661</v>
          </cell>
        </row>
        <row r="125">
          <cell r="C125" t="str">
            <v>2150801</v>
          </cell>
        </row>
        <row r="125">
          <cell r="M125">
            <v>10</v>
          </cell>
        </row>
        <row r="125">
          <cell r="P125">
            <v>4.576645</v>
          </cell>
        </row>
        <row r="126">
          <cell r="C126" t="str">
            <v>2150801</v>
          </cell>
        </row>
        <row r="126">
          <cell r="M126">
            <v>40.648516</v>
          </cell>
        </row>
        <row r="126">
          <cell r="P126">
            <v>30.545276</v>
          </cell>
        </row>
        <row r="127">
          <cell r="M127">
            <v>178.924396</v>
          </cell>
        </row>
        <row r="127">
          <cell r="P127">
            <v>156.155632</v>
          </cell>
        </row>
        <row r="128">
          <cell r="C128" t="str">
            <v>2010501</v>
          </cell>
        </row>
        <row r="128">
          <cell r="M128">
            <v>13.612776</v>
          </cell>
        </row>
        <row r="128">
          <cell r="P128">
            <v>12.374046</v>
          </cell>
        </row>
        <row r="129">
          <cell r="C129" t="str">
            <v>2010501</v>
          </cell>
        </row>
        <row r="129">
          <cell r="M129">
            <v>108.8198</v>
          </cell>
        </row>
        <row r="129">
          <cell r="P129">
            <v>96.928186</v>
          </cell>
        </row>
        <row r="130">
          <cell r="C130" t="str">
            <v>2010501</v>
          </cell>
        </row>
        <row r="130">
          <cell r="M130">
            <v>5.104791</v>
          </cell>
        </row>
        <row r="130">
          <cell r="P130">
            <v>5.104791</v>
          </cell>
        </row>
        <row r="131">
          <cell r="C131" t="str">
            <v>2010501</v>
          </cell>
        </row>
        <row r="131">
          <cell r="M131">
            <v>37.767029</v>
          </cell>
        </row>
        <row r="131">
          <cell r="P131">
            <v>31.533891</v>
          </cell>
        </row>
        <row r="132">
          <cell r="C132" t="str">
            <v>2010501</v>
          </cell>
        </row>
        <row r="132">
          <cell r="M132">
            <v>9</v>
          </cell>
        </row>
        <row r="132">
          <cell r="P132">
            <v>6.660431</v>
          </cell>
        </row>
        <row r="133">
          <cell r="C133" t="str">
            <v>2010501</v>
          </cell>
        </row>
        <row r="133">
          <cell r="M133">
            <v>4.62</v>
          </cell>
        </row>
        <row r="133">
          <cell r="P133">
            <v>3.554287</v>
          </cell>
        </row>
        <row r="134">
          <cell r="M134">
            <v>79.730996</v>
          </cell>
        </row>
        <row r="134">
          <cell r="P134">
            <v>69.607847</v>
          </cell>
        </row>
        <row r="135">
          <cell r="C135" t="str">
            <v>2010301</v>
          </cell>
        </row>
        <row r="135">
          <cell r="M135">
            <v>0.1</v>
          </cell>
        </row>
        <row r="135">
          <cell r="P135">
            <v>0.099649</v>
          </cell>
        </row>
        <row r="136">
          <cell r="C136" t="str">
            <v>2010301</v>
          </cell>
        </row>
        <row r="136">
          <cell r="M136">
            <v>13.3872</v>
          </cell>
        </row>
        <row r="136">
          <cell r="P136">
            <v>13.3872</v>
          </cell>
        </row>
        <row r="137">
          <cell r="C137" t="str">
            <v>2010301</v>
          </cell>
        </row>
        <row r="137">
          <cell r="M137">
            <v>0.70542</v>
          </cell>
        </row>
        <row r="137">
          <cell r="P137">
            <v>0.70542</v>
          </cell>
        </row>
        <row r="138">
          <cell r="C138" t="str">
            <v>2010301</v>
          </cell>
        </row>
        <row r="138">
          <cell r="M138">
            <v>4.495764</v>
          </cell>
        </row>
        <row r="138">
          <cell r="P138">
            <v>4.495764</v>
          </cell>
        </row>
        <row r="139">
          <cell r="C139" t="str">
            <v>2010301</v>
          </cell>
        </row>
        <row r="139">
          <cell r="M139">
            <v>1.685912</v>
          </cell>
        </row>
        <row r="139">
          <cell r="P139">
            <v>1.685912</v>
          </cell>
        </row>
        <row r="140">
          <cell r="C140" t="str">
            <v>2010301</v>
          </cell>
        </row>
        <row r="140">
          <cell r="M140">
            <v>50.1647</v>
          </cell>
        </row>
        <row r="140">
          <cell r="P140">
            <v>41.834915</v>
          </cell>
        </row>
        <row r="141">
          <cell r="C141" t="str">
            <v>2010301</v>
          </cell>
        </row>
        <row r="141">
          <cell r="M141">
            <v>0.78</v>
          </cell>
        </row>
        <row r="141">
          <cell r="P141">
            <v>0.39</v>
          </cell>
        </row>
        <row r="142">
          <cell r="C142" t="str">
            <v>2010301</v>
          </cell>
        </row>
        <row r="142">
          <cell r="M142">
            <v>5.412</v>
          </cell>
        </row>
        <row r="142">
          <cell r="P142">
            <v>5.206362</v>
          </cell>
        </row>
        <row r="143">
          <cell r="C143" t="str">
            <v>2010301</v>
          </cell>
        </row>
        <row r="143">
          <cell r="M143">
            <v>3</v>
          </cell>
        </row>
        <row r="143">
          <cell r="P143">
            <v>1.802625</v>
          </cell>
        </row>
        <row r="144">
          <cell r="M144">
            <v>240.918514</v>
          </cell>
        </row>
        <row r="144">
          <cell r="P144">
            <v>188.787643</v>
          </cell>
        </row>
        <row r="145">
          <cell r="C145" t="str">
            <v>2040601</v>
          </cell>
        </row>
        <row r="145">
          <cell r="M145">
            <v>152.349804</v>
          </cell>
        </row>
        <row r="145">
          <cell r="P145">
            <v>121.085211</v>
          </cell>
        </row>
        <row r="146">
          <cell r="C146" t="str">
            <v>2040601</v>
          </cell>
        </row>
        <row r="146">
          <cell r="M146">
            <v>9.64</v>
          </cell>
        </row>
        <row r="146">
          <cell r="P146">
            <v>3.225596</v>
          </cell>
        </row>
        <row r="147">
          <cell r="C147" t="str">
            <v>2040601</v>
          </cell>
        </row>
        <row r="147">
          <cell r="M147">
            <v>10</v>
          </cell>
        </row>
        <row r="147">
          <cell r="P147">
            <v>6.654683</v>
          </cell>
        </row>
        <row r="148">
          <cell r="C148" t="str">
            <v>2040601</v>
          </cell>
        </row>
        <row r="148">
          <cell r="M148">
            <v>46.012982</v>
          </cell>
        </row>
        <row r="148">
          <cell r="P148">
            <v>37.100836</v>
          </cell>
        </row>
        <row r="149">
          <cell r="C149" t="str">
            <v>2040601</v>
          </cell>
        </row>
        <row r="149">
          <cell r="M149">
            <v>16.665984</v>
          </cell>
        </row>
        <row r="149">
          <cell r="P149">
            <v>15.282598</v>
          </cell>
        </row>
        <row r="150">
          <cell r="C150" t="str">
            <v>2040601</v>
          </cell>
        </row>
        <row r="150">
          <cell r="M150">
            <v>6.249744</v>
          </cell>
        </row>
        <row r="150">
          <cell r="P150">
            <v>5.438719</v>
          </cell>
        </row>
        <row r="151">
          <cell r="M151">
            <v>329.231527</v>
          </cell>
        </row>
        <row r="151">
          <cell r="P151">
            <v>301.614384</v>
          </cell>
        </row>
        <row r="152">
          <cell r="C152" t="str">
            <v>2130101</v>
          </cell>
        </row>
        <row r="152">
          <cell r="M152">
            <v>7.913885</v>
          </cell>
        </row>
        <row r="152">
          <cell r="P152">
            <v>7.184376</v>
          </cell>
        </row>
        <row r="153">
          <cell r="C153" t="str">
            <v>2130101</v>
          </cell>
        </row>
        <row r="153">
          <cell r="M153">
            <v>55.506225</v>
          </cell>
        </row>
        <row r="153">
          <cell r="P153">
            <v>55.313839</v>
          </cell>
        </row>
        <row r="154">
          <cell r="C154" t="str">
            <v>2130101</v>
          </cell>
        </row>
        <row r="154">
          <cell r="M154">
            <v>8.08</v>
          </cell>
        </row>
        <row r="154">
          <cell r="P154">
            <v>1.229277</v>
          </cell>
        </row>
        <row r="155">
          <cell r="C155" t="str">
            <v>2130101</v>
          </cell>
        </row>
        <row r="155">
          <cell r="M155">
            <v>57.1656</v>
          </cell>
        </row>
        <row r="155">
          <cell r="P155">
            <v>51.896008</v>
          </cell>
        </row>
        <row r="156">
          <cell r="C156" t="str">
            <v>2130101</v>
          </cell>
        </row>
        <row r="156">
          <cell r="M156">
            <v>19.518882</v>
          </cell>
        </row>
        <row r="156">
          <cell r="P156">
            <v>19.266365</v>
          </cell>
        </row>
        <row r="157">
          <cell r="C157" t="str">
            <v>2130101</v>
          </cell>
        </row>
        <row r="157">
          <cell r="M157">
            <v>158.577354</v>
          </cell>
        </row>
        <row r="157">
          <cell r="P157">
            <v>149.853991</v>
          </cell>
        </row>
        <row r="158">
          <cell r="C158" t="str">
            <v>2130101</v>
          </cell>
        </row>
        <row r="158">
          <cell r="M158">
            <v>13</v>
          </cell>
        </row>
        <row r="158">
          <cell r="P158">
            <v>9.279697</v>
          </cell>
        </row>
        <row r="159">
          <cell r="C159" t="str">
            <v>2130101</v>
          </cell>
        </row>
        <row r="159">
          <cell r="M159">
            <v>7.319581</v>
          </cell>
        </row>
        <row r="159">
          <cell r="P159">
            <v>7.319581</v>
          </cell>
        </row>
        <row r="160">
          <cell r="C160" t="str">
            <v>2130101</v>
          </cell>
        </row>
        <row r="160">
          <cell r="M160">
            <v>2.15</v>
          </cell>
        </row>
        <row r="160">
          <cell r="P160">
            <v>0.27125</v>
          </cell>
        </row>
        <row r="161">
          <cell r="M161">
            <v>416.90164</v>
          </cell>
        </row>
        <row r="161">
          <cell r="P161">
            <v>374.04317</v>
          </cell>
        </row>
        <row r="162">
          <cell r="C162" t="str">
            <v>2080101</v>
          </cell>
        </row>
        <row r="162">
          <cell r="M162">
            <v>1.4</v>
          </cell>
        </row>
        <row r="162">
          <cell r="P162">
            <v>0.7</v>
          </cell>
        </row>
        <row r="163">
          <cell r="C163" t="str">
            <v>2080101</v>
          </cell>
        </row>
        <row r="163">
          <cell r="M163">
            <v>43.84164</v>
          </cell>
        </row>
        <row r="163">
          <cell r="P163">
            <v>37.376785</v>
          </cell>
        </row>
        <row r="164">
          <cell r="C164" t="str">
            <v>2080101</v>
          </cell>
        </row>
        <row r="164">
          <cell r="M164">
            <v>17</v>
          </cell>
        </row>
        <row r="164">
          <cell r="P164">
            <v>15.075223</v>
          </cell>
        </row>
        <row r="165">
          <cell r="C165" t="str">
            <v>2080101</v>
          </cell>
        </row>
        <row r="165">
          <cell r="M165">
            <v>218.3773</v>
          </cell>
        </row>
        <row r="165">
          <cell r="P165">
            <v>198.782188</v>
          </cell>
        </row>
        <row r="166">
          <cell r="C166" t="str">
            <v>2080101</v>
          </cell>
        </row>
        <row r="166">
          <cell r="M166">
            <v>10.06</v>
          </cell>
        </row>
        <row r="166">
          <cell r="P166">
            <v>5.795823</v>
          </cell>
        </row>
        <row r="167">
          <cell r="C167" t="str">
            <v>2080101</v>
          </cell>
        </row>
        <row r="167">
          <cell r="M167">
            <v>12.491299</v>
          </cell>
        </row>
        <row r="167">
          <cell r="P167">
            <v>10.688026</v>
          </cell>
        </row>
        <row r="168">
          <cell r="C168" t="str">
            <v>2080101</v>
          </cell>
        </row>
        <row r="168">
          <cell r="M168">
            <v>76.699246</v>
          </cell>
        </row>
        <row r="168">
          <cell r="P168">
            <v>71.416048</v>
          </cell>
        </row>
        <row r="169">
          <cell r="C169" t="str">
            <v>2080101</v>
          </cell>
        </row>
        <row r="169">
          <cell r="M169">
            <v>10.099679</v>
          </cell>
        </row>
        <row r="169">
          <cell r="P169">
            <v>10.099679</v>
          </cell>
        </row>
        <row r="170">
          <cell r="C170" t="str">
            <v>2080101</v>
          </cell>
        </row>
        <row r="170">
          <cell r="M170">
            <v>26.932476</v>
          </cell>
        </row>
        <row r="170">
          <cell r="P170">
            <v>24.109398</v>
          </cell>
        </row>
        <row r="171">
          <cell r="M171">
            <v>244.685933</v>
          </cell>
        </row>
        <row r="171">
          <cell r="P171">
            <v>215.81284</v>
          </cell>
        </row>
        <row r="172">
          <cell r="C172" t="str">
            <v>2080201</v>
          </cell>
        </row>
        <row r="172">
          <cell r="M172">
            <v>1.3</v>
          </cell>
        </row>
        <row r="172">
          <cell r="P172">
            <v>0.7</v>
          </cell>
        </row>
        <row r="173">
          <cell r="C173" t="str">
            <v>2080201</v>
          </cell>
        </row>
        <row r="173">
          <cell r="M173">
            <v>36.584619</v>
          </cell>
        </row>
        <row r="173">
          <cell r="P173">
            <v>31.193989</v>
          </cell>
        </row>
        <row r="174">
          <cell r="C174" t="str">
            <v>2080201</v>
          </cell>
        </row>
        <row r="174">
          <cell r="M174">
            <v>47.999964</v>
          </cell>
        </row>
        <row r="174">
          <cell r="P174">
            <v>37.470449</v>
          </cell>
        </row>
        <row r="175">
          <cell r="C175" t="str">
            <v>2080201</v>
          </cell>
        </row>
        <row r="175">
          <cell r="M175">
            <v>121.563724</v>
          </cell>
        </row>
        <row r="175">
          <cell r="P175">
            <v>114.077949</v>
          </cell>
        </row>
        <row r="176">
          <cell r="C176" t="str">
            <v>2080201</v>
          </cell>
        </row>
        <row r="176">
          <cell r="M176">
            <v>4.2</v>
          </cell>
        </row>
        <row r="176">
          <cell r="P176">
            <v>2.713327</v>
          </cell>
        </row>
        <row r="177">
          <cell r="C177" t="str">
            <v>2080201</v>
          </cell>
        </row>
        <row r="177">
          <cell r="M177">
            <v>9</v>
          </cell>
        </row>
        <row r="177">
          <cell r="P177">
            <v>8.306789</v>
          </cell>
        </row>
        <row r="178">
          <cell r="C178" t="str">
            <v>2080201</v>
          </cell>
        </row>
        <row r="178">
          <cell r="M178">
            <v>12.880056</v>
          </cell>
        </row>
        <row r="178">
          <cell r="P178">
            <v>11.713243</v>
          </cell>
        </row>
        <row r="179">
          <cell r="C179" t="str">
            <v>2080201</v>
          </cell>
        </row>
        <row r="179">
          <cell r="M179">
            <v>4.830021</v>
          </cell>
        </row>
        <row r="179">
          <cell r="P179">
            <v>4.830021</v>
          </cell>
        </row>
        <row r="180">
          <cell r="C180" t="str">
            <v>2080201</v>
          </cell>
        </row>
        <row r="180">
          <cell r="M180">
            <v>6.327549</v>
          </cell>
        </row>
        <row r="180">
          <cell r="P180">
            <v>4.807073</v>
          </cell>
        </row>
        <row r="181">
          <cell r="M181">
            <v>27.320816</v>
          </cell>
        </row>
        <row r="181">
          <cell r="P181">
            <v>22.949331</v>
          </cell>
        </row>
        <row r="182">
          <cell r="C182" t="str">
            <v>2081101</v>
          </cell>
        </row>
        <row r="182">
          <cell r="M182">
            <v>1.128</v>
          </cell>
        </row>
        <row r="182">
          <cell r="P182">
            <v>0.421062</v>
          </cell>
        </row>
        <row r="183">
          <cell r="C183" t="str">
            <v>2081101</v>
          </cell>
        </row>
        <row r="183">
          <cell r="M183">
            <v>1</v>
          </cell>
        </row>
        <row r="183">
          <cell r="P183">
            <v>0.246907</v>
          </cell>
        </row>
        <row r="184">
          <cell r="C184" t="str">
            <v>2081101</v>
          </cell>
        </row>
        <row r="184">
          <cell r="M184">
            <v>2.124216</v>
          </cell>
        </row>
        <row r="184">
          <cell r="P184">
            <v>2.124216</v>
          </cell>
        </row>
        <row r="185">
          <cell r="C185" t="str">
            <v>2081101</v>
          </cell>
        </row>
        <row r="185">
          <cell r="M185">
            <v>5.698219</v>
          </cell>
        </row>
        <row r="185">
          <cell r="P185">
            <v>4.767444</v>
          </cell>
        </row>
        <row r="186">
          <cell r="C186" t="str">
            <v>2081101</v>
          </cell>
        </row>
        <row r="186">
          <cell r="M186">
            <v>0.796581</v>
          </cell>
        </row>
        <row r="186">
          <cell r="P186">
            <v>0.796581</v>
          </cell>
        </row>
        <row r="187">
          <cell r="C187" t="str">
            <v>2081101</v>
          </cell>
        </row>
        <row r="187">
          <cell r="M187">
            <v>16.5738</v>
          </cell>
        </row>
        <row r="187">
          <cell r="P187">
            <v>14.593121</v>
          </cell>
        </row>
        <row r="188">
          <cell r="M188">
            <v>192.207637</v>
          </cell>
        </row>
        <row r="188">
          <cell r="P188">
            <v>156.234758</v>
          </cell>
        </row>
        <row r="189">
          <cell r="C189" t="str">
            <v>2082801</v>
          </cell>
        </row>
        <row r="189">
          <cell r="M189">
            <v>2.76</v>
          </cell>
        </row>
        <row r="189">
          <cell r="P189">
            <v>2.565001</v>
          </cell>
        </row>
        <row r="190">
          <cell r="C190" t="str">
            <v>2082801</v>
          </cell>
        </row>
        <row r="190">
          <cell r="M190">
            <v>3.7764</v>
          </cell>
        </row>
        <row r="190">
          <cell r="P190">
            <v>3.7764</v>
          </cell>
        </row>
        <row r="191">
          <cell r="C191" t="str">
            <v>2082801</v>
          </cell>
        </row>
        <row r="191">
          <cell r="M191">
            <v>10.289172</v>
          </cell>
        </row>
        <row r="191">
          <cell r="P191">
            <v>10.289172</v>
          </cell>
        </row>
        <row r="192">
          <cell r="C192" t="str">
            <v>2082801</v>
          </cell>
        </row>
        <row r="192">
          <cell r="M192">
            <v>28.927613</v>
          </cell>
        </row>
        <row r="192">
          <cell r="P192">
            <v>28.927613</v>
          </cell>
        </row>
        <row r="193">
          <cell r="C193" t="str">
            <v>2082801</v>
          </cell>
        </row>
        <row r="193">
          <cell r="M193">
            <v>133.9831</v>
          </cell>
        </row>
        <row r="193">
          <cell r="P193">
            <v>98.948502</v>
          </cell>
        </row>
        <row r="194">
          <cell r="C194" t="str">
            <v>2082801</v>
          </cell>
        </row>
        <row r="194">
          <cell r="M194">
            <v>0.512912</v>
          </cell>
        </row>
        <row r="194">
          <cell r="P194">
            <v>0.512912</v>
          </cell>
        </row>
        <row r="195">
          <cell r="C195" t="str">
            <v>2082801</v>
          </cell>
        </row>
        <row r="195">
          <cell r="M195">
            <v>8</v>
          </cell>
        </row>
        <row r="195">
          <cell r="P195">
            <v>7.312718</v>
          </cell>
        </row>
        <row r="196">
          <cell r="C196" t="str">
            <v>2082801</v>
          </cell>
        </row>
        <row r="196">
          <cell r="M196">
            <v>0.1</v>
          </cell>
        </row>
        <row r="196">
          <cell r="P196">
            <v>0.044</v>
          </cell>
        </row>
        <row r="197">
          <cell r="C197" t="str">
            <v>2082801</v>
          </cell>
        </row>
        <row r="197">
          <cell r="M197">
            <v>3.85844</v>
          </cell>
        </row>
        <row r="197">
          <cell r="P197">
            <v>3.85844</v>
          </cell>
        </row>
        <row r="198">
          <cell r="M198">
            <v>321.958754</v>
          </cell>
        </row>
        <row r="198">
          <cell r="P198">
            <v>260.65042</v>
          </cell>
        </row>
        <row r="199">
          <cell r="C199" t="str">
            <v>2100101</v>
          </cell>
        </row>
        <row r="199">
          <cell r="M199">
            <v>46.659667</v>
          </cell>
        </row>
        <row r="199">
          <cell r="P199">
            <v>41.533761</v>
          </cell>
        </row>
        <row r="200">
          <cell r="C200" t="str">
            <v>2100101</v>
          </cell>
        </row>
        <row r="200">
          <cell r="M200">
            <v>5.1</v>
          </cell>
        </row>
        <row r="200">
          <cell r="P200">
            <v>3.294754</v>
          </cell>
        </row>
        <row r="201">
          <cell r="C201" t="str">
            <v>2100101</v>
          </cell>
        </row>
        <row r="201">
          <cell r="M201">
            <v>6.124253</v>
          </cell>
        </row>
        <row r="201">
          <cell r="P201">
            <v>6.124253</v>
          </cell>
        </row>
        <row r="202">
          <cell r="C202" t="str">
            <v>2100101</v>
          </cell>
        </row>
        <row r="202">
          <cell r="M202">
            <v>16.33134</v>
          </cell>
        </row>
        <row r="202">
          <cell r="P202">
            <v>16.33134</v>
          </cell>
        </row>
        <row r="203">
          <cell r="C203" t="str">
            <v>2100101</v>
          </cell>
        </row>
        <row r="203">
          <cell r="M203">
            <v>30.3516</v>
          </cell>
        </row>
        <row r="203">
          <cell r="P203">
            <v>23.768083</v>
          </cell>
        </row>
        <row r="204">
          <cell r="C204" t="str">
            <v>2100101</v>
          </cell>
        </row>
        <row r="204">
          <cell r="M204">
            <v>200.9945</v>
          </cell>
        </row>
        <row r="204">
          <cell r="P204">
            <v>158.428091</v>
          </cell>
        </row>
        <row r="205">
          <cell r="C205" t="str">
            <v>2100101</v>
          </cell>
        </row>
        <row r="205">
          <cell r="M205">
            <v>4.497394</v>
          </cell>
        </row>
        <row r="205">
          <cell r="P205">
            <v>3.011298</v>
          </cell>
        </row>
        <row r="206">
          <cell r="C206" t="str">
            <v>2100101</v>
          </cell>
        </row>
        <row r="206">
          <cell r="M206">
            <v>11</v>
          </cell>
        </row>
        <row r="206">
          <cell r="P206">
            <v>7.25884</v>
          </cell>
        </row>
        <row r="207">
          <cell r="C207" t="str">
            <v>2100101</v>
          </cell>
        </row>
        <row r="207">
          <cell r="M207">
            <v>0.9</v>
          </cell>
        </row>
        <row r="207">
          <cell r="P207">
            <v>0.9</v>
          </cell>
        </row>
        <row r="208">
          <cell r="M208">
            <v>451.108762</v>
          </cell>
        </row>
        <row r="208">
          <cell r="P208">
            <v>310.584726</v>
          </cell>
        </row>
        <row r="209">
          <cell r="C209" t="str">
            <v>2100302</v>
          </cell>
        </row>
        <row r="209">
          <cell r="M209">
            <v>57.6</v>
          </cell>
        </row>
        <row r="209">
          <cell r="P209">
            <v>54.22755</v>
          </cell>
        </row>
        <row r="210">
          <cell r="C210" t="str">
            <v>2100302</v>
          </cell>
        </row>
        <row r="210">
          <cell r="M210">
            <v>29.55806</v>
          </cell>
        </row>
        <row r="210">
          <cell r="P210">
            <v>18.851403</v>
          </cell>
        </row>
        <row r="211">
          <cell r="C211" t="str">
            <v>2100302</v>
          </cell>
        </row>
        <row r="211">
          <cell r="M211">
            <v>11.084272</v>
          </cell>
        </row>
        <row r="211">
          <cell r="P211">
            <v>10.127538</v>
          </cell>
        </row>
        <row r="212">
          <cell r="C212" t="str">
            <v>2100302</v>
          </cell>
        </row>
        <row r="212">
          <cell r="M212">
            <v>16.720363</v>
          </cell>
        </row>
        <row r="212">
          <cell r="P212">
            <v>9.501619</v>
          </cell>
        </row>
        <row r="213">
          <cell r="C213" t="str">
            <v>2100302</v>
          </cell>
        </row>
        <row r="213">
          <cell r="M213">
            <v>89.828897</v>
          </cell>
        </row>
        <row r="213">
          <cell r="P213">
            <v>55.72793</v>
          </cell>
        </row>
        <row r="214">
          <cell r="C214" t="str">
            <v>2100302</v>
          </cell>
        </row>
        <row r="214">
          <cell r="M214">
            <v>246.31717</v>
          </cell>
        </row>
        <row r="214">
          <cell r="P214">
            <v>162.148686</v>
          </cell>
        </row>
        <row r="215">
          <cell r="M215">
            <v>281.079276</v>
          </cell>
        </row>
        <row r="215">
          <cell r="P215">
            <v>218.388784</v>
          </cell>
        </row>
        <row r="216">
          <cell r="C216" t="str">
            <v>2100302</v>
          </cell>
        </row>
        <row r="216">
          <cell r="M216">
            <v>50.169024</v>
          </cell>
        </row>
        <row r="216">
          <cell r="P216">
            <v>38.931829</v>
          </cell>
        </row>
        <row r="217">
          <cell r="C217" t="str">
            <v>2100302</v>
          </cell>
        </row>
        <row r="217">
          <cell r="M217">
            <v>138.176625</v>
          </cell>
        </row>
        <row r="217">
          <cell r="P217">
            <v>102.724931</v>
          </cell>
        </row>
        <row r="218">
          <cell r="C218" t="str">
            <v>2100302</v>
          </cell>
        </row>
        <row r="218">
          <cell r="M218">
            <v>6.217949</v>
          </cell>
        </row>
        <row r="218">
          <cell r="P218">
            <v>4.978835</v>
          </cell>
        </row>
        <row r="219">
          <cell r="C219" t="str">
            <v>2100302</v>
          </cell>
        </row>
        <row r="219">
          <cell r="M219">
            <v>15.934483</v>
          </cell>
        </row>
        <row r="219">
          <cell r="P219">
            <v>12.338371</v>
          </cell>
        </row>
        <row r="220">
          <cell r="C220" t="str">
            <v>2100302</v>
          </cell>
        </row>
        <row r="220">
          <cell r="M220">
            <v>54</v>
          </cell>
        </row>
        <row r="220">
          <cell r="P220">
            <v>46.547591</v>
          </cell>
        </row>
        <row r="221">
          <cell r="C221" t="str">
            <v>2100302</v>
          </cell>
        </row>
        <row r="221">
          <cell r="M221">
            <v>16.581195</v>
          </cell>
        </row>
        <row r="221">
          <cell r="P221">
            <v>12.867227</v>
          </cell>
        </row>
        <row r="222">
          <cell r="M222">
            <v>266.274261</v>
          </cell>
        </row>
        <row r="222">
          <cell r="P222">
            <v>196.808134</v>
          </cell>
        </row>
        <row r="223">
          <cell r="C223" t="str">
            <v>2100302</v>
          </cell>
        </row>
        <row r="223">
          <cell r="M223">
            <v>15.289335</v>
          </cell>
        </row>
        <row r="223">
          <cell r="P223">
            <v>10.244314</v>
          </cell>
        </row>
        <row r="224">
          <cell r="C224" t="str">
            <v>2100302</v>
          </cell>
        </row>
        <row r="224">
          <cell r="M224">
            <v>16.316556</v>
          </cell>
        </row>
        <row r="224">
          <cell r="P224">
            <v>10.910174</v>
          </cell>
        </row>
        <row r="225">
          <cell r="C225" t="str">
            <v>2100302</v>
          </cell>
        </row>
        <row r="225">
          <cell r="M225">
            <v>43.2</v>
          </cell>
        </row>
        <row r="225">
          <cell r="P225">
            <v>43.2</v>
          </cell>
        </row>
        <row r="226">
          <cell r="C226" t="str">
            <v>2100302</v>
          </cell>
        </row>
        <row r="226">
          <cell r="M226">
            <v>49.378366</v>
          </cell>
        </row>
        <row r="226">
          <cell r="P226">
            <v>33.084989</v>
          </cell>
        </row>
        <row r="227">
          <cell r="C227" t="str">
            <v>2100302</v>
          </cell>
        </row>
        <row r="227">
          <cell r="M227">
            <v>6.118708</v>
          </cell>
        </row>
        <row r="227">
          <cell r="P227">
            <v>4.293162</v>
          </cell>
        </row>
        <row r="228">
          <cell r="C228" t="str">
            <v>2100302</v>
          </cell>
        </row>
        <row r="228">
          <cell r="M228">
            <v>135.971296</v>
          </cell>
        </row>
        <row r="228">
          <cell r="P228">
            <v>95.075495</v>
          </cell>
        </row>
        <row r="229">
          <cell r="M229">
            <v>428.265521</v>
          </cell>
        </row>
        <row r="229">
          <cell r="P229">
            <v>376.696035</v>
          </cell>
        </row>
        <row r="230">
          <cell r="C230" t="str">
            <v>2100302</v>
          </cell>
        </row>
        <row r="230">
          <cell r="M230">
            <v>10.15353</v>
          </cell>
        </row>
        <row r="230">
          <cell r="P230">
            <v>10.15353</v>
          </cell>
        </row>
        <row r="231">
          <cell r="C231" t="str">
            <v>2100302</v>
          </cell>
        </row>
        <row r="231">
          <cell r="M231">
            <v>55.8</v>
          </cell>
        </row>
        <row r="231">
          <cell r="P231">
            <v>55.8</v>
          </cell>
        </row>
        <row r="232">
          <cell r="C232" t="str">
            <v>2100302</v>
          </cell>
        </row>
        <row r="232">
          <cell r="M232">
            <v>225.634</v>
          </cell>
        </row>
        <row r="232">
          <cell r="P232">
            <v>195.133547</v>
          </cell>
        </row>
        <row r="233">
          <cell r="C233" t="str">
            <v>2100302</v>
          </cell>
        </row>
        <row r="233">
          <cell r="M233">
            <v>27.07608</v>
          </cell>
        </row>
        <row r="233">
          <cell r="P233">
            <v>24.180953</v>
          </cell>
        </row>
        <row r="234">
          <cell r="C234" t="str">
            <v>2100302</v>
          </cell>
        </row>
        <row r="234">
          <cell r="M234">
            <v>27.603895</v>
          </cell>
        </row>
        <row r="234">
          <cell r="P234">
            <v>18.416103</v>
          </cell>
        </row>
        <row r="235">
          <cell r="C235" t="str">
            <v>2100302</v>
          </cell>
        </row>
        <row r="235">
          <cell r="M235">
            <v>81.998016</v>
          </cell>
        </row>
        <row r="235">
          <cell r="P235">
            <v>73.011902</v>
          </cell>
        </row>
        <row r="236">
          <cell r="M236">
            <v>124.112795</v>
          </cell>
        </row>
        <row r="236">
          <cell r="P236">
            <v>110.119943</v>
          </cell>
        </row>
        <row r="237">
          <cell r="C237" t="str">
            <v>2101501</v>
          </cell>
        </row>
        <row r="237">
          <cell r="M237">
            <v>2.22</v>
          </cell>
        </row>
        <row r="237">
          <cell r="P237">
            <v>1.48</v>
          </cell>
        </row>
        <row r="238">
          <cell r="C238" t="str">
            <v>2101501</v>
          </cell>
        </row>
        <row r="238">
          <cell r="M238">
            <v>6</v>
          </cell>
        </row>
        <row r="238">
          <cell r="P238">
            <v>5.11363</v>
          </cell>
        </row>
        <row r="239">
          <cell r="C239" t="str">
            <v>2101501</v>
          </cell>
        </row>
        <row r="239">
          <cell r="M239">
            <v>26.959234</v>
          </cell>
        </row>
        <row r="239">
          <cell r="P239">
            <v>20.598696</v>
          </cell>
        </row>
        <row r="240">
          <cell r="C240" t="str">
            <v>2101501</v>
          </cell>
        </row>
        <row r="240">
          <cell r="M240">
            <v>3.520953</v>
          </cell>
        </row>
        <row r="240">
          <cell r="P240">
            <v>3.520953</v>
          </cell>
        </row>
        <row r="241">
          <cell r="C241" t="str">
            <v>2101501</v>
          </cell>
        </row>
        <row r="241">
          <cell r="M241">
            <v>9.389208</v>
          </cell>
        </row>
        <row r="241">
          <cell r="P241">
            <v>7.235584</v>
          </cell>
        </row>
        <row r="242">
          <cell r="C242" t="str">
            <v>2101501</v>
          </cell>
        </row>
        <row r="242">
          <cell r="M242">
            <v>76.0234</v>
          </cell>
        </row>
        <row r="242">
          <cell r="P242">
            <v>72.17108</v>
          </cell>
        </row>
        <row r="243">
          <cell r="M243">
            <v>348.189188</v>
          </cell>
        </row>
        <row r="243">
          <cell r="P243">
            <v>288.178566</v>
          </cell>
        </row>
        <row r="244">
          <cell r="C244" t="str">
            <v>2050101</v>
          </cell>
        </row>
        <row r="244">
          <cell r="M244">
            <v>61.5324</v>
          </cell>
        </row>
        <row r="244">
          <cell r="P244">
            <v>41.108368</v>
          </cell>
        </row>
        <row r="245">
          <cell r="C245" t="str">
            <v>2050101</v>
          </cell>
        </row>
        <row r="245">
          <cell r="M245">
            <v>60.778723</v>
          </cell>
        </row>
        <row r="245">
          <cell r="P245">
            <v>50.122486</v>
          </cell>
        </row>
        <row r="246">
          <cell r="C246" t="str">
            <v>2050101</v>
          </cell>
        </row>
        <row r="246">
          <cell r="M246">
            <v>7.85651</v>
          </cell>
        </row>
        <row r="246">
          <cell r="P246">
            <v>7.85651</v>
          </cell>
        </row>
        <row r="247">
          <cell r="C247" t="str">
            <v>2050101</v>
          </cell>
        </row>
        <row r="247">
          <cell r="M247">
            <v>7.821763</v>
          </cell>
        </row>
        <row r="247">
          <cell r="P247">
            <v>5.571548</v>
          </cell>
        </row>
        <row r="248">
          <cell r="C248" t="str">
            <v>2050101</v>
          </cell>
        </row>
        <row r="248">
          <cell r="M248">
            <v>20.950692</v>
          </cell>
        </row>
        <row r="248">
          <cell r="P248">
            <v>18.888772</v>
          </cell>
        </row>
        <row r="249">
          <cell r="C249" t="str">
            <v>2050101</v>
          </cell>
        </row>
        <row r="249">
          <cell r="M249">
            <v>2.88</v>
          </cell>
        </row>
        <row r="249">
          <cell r="P249">
            <v>1.871684</v>
          </cell>
        </row>
        <row r="250">
          <cell r="C250" t="str">
            <v>2050101</v>
          </cell>
        </row>
        <row r="250">
          <cell r="M250">
            <v>171.7091</v>
          </cell>
        </row>
        <row r="250">
          <cell r="P250">
            <v>149.109198</v>
          </cell>
        </row>
        <row r="251">
          <cell r="C251" t="str">
            <v>2050101</v>
          </cell>
        </row>
        <row r="251">
          <cell r="M251">
            <v>13</v>
          </cell>
        </row>
        <row r="251">
          <cell r="P251">
            <v>13</v>
          </cell>
        </row>
        <row r="252">
          <cell r="C252" t="str">
            <v>2050101</v>
          </cell>
        </row>
        <row r="252">
          <cell r="M252">
            <v>1.66</v>
          </cell>
        </row>
        <row r="252">
          <cell r="P252">
            <v>0.65</v>
          </cell>
        </row>
        <row r="253">
          <cell r="M253">
            <v>1830.277336</v>
          </cell>
        </row>
        <row r="253">
          <cell r="P253">
            <v>1181.986714</v>
          </cell>
        </row>
        <row r="254">
          <cell r="C254" t="str">
            <v>2050203</v>
          </cell>
        </row>
        <row r="254">
          <cell r="M254">
            <v>1163.2417</v>
          </cell>
        </row>
        <row r="254">
          <cell r="P254">
            <v>736.587536</v>
          </cell>
        </row>
        <row r="255">
          <cell r="C255" t="str">
            <v>2050203</v>
          </cell>
        </row>
        <row r="255">
          <cell r="M255">
            <v>28</v>
          </cell>
        </row>
        <row r="255">
          <cell r="P255">
            <v>28</v>
          </cell>
        </row>
        <row r="256">
          <cell r="C256" t="str">
            <v>2050203</v>
          </cell>
        </row>
        <row r="256">
          <cell r="M256">
            <v>431.655417</v>
          </cell>
        </row>
        <row r="256">
          <cell r="P256">
            <v>281.42903</v>
          </cell>
        </row>
        <row r="257">
          <cell r="C257" t="str">
            <v>2050203</v>
          </cell>
        </row>
        <row r="257">
          <cell r="M257">
            <v>8.975338</v>
          </cell>
        </row>
        <row r="257">
          <cell r="P257">
            <v>5.663101</v>
          </cell>
        </row>
        <row r="258">
          <cell r="C258" t="str">
            <v>2050203</v>
          </cell>
        </row>
        <row r="258">
          <cell r="M258">
            <v>1.52</v>
          </cell>
        </row>
        <row r="258">
          <cell r="P258">
            <v>1.3</v>
          </cell>
        </row>
        <row r="259">
          <cell r="C259" t="str">
            <v>2050203</v>
          </cell>
        </row>
        <row r="259">
          <cell r="M259">
            <v>53.695877</v>
          </cell>
        </row>
        <row r="259">
          <cell r="P259">
            <v>26.031434</v>
          </cell>
        </row>
        <row r="260">
          <cell r="C260" t="str">
            <v>2050203</v>
          </cell>
        </row>
        <row r="260">
          <cell r="M260">
            <v>143.189004</v>
          </cell>
        </row>
        <row r="260">
          <cell r="P260">
            <v>102.975613</v>
          </cell>
        </row>
        <row r="261">
          <cell r="M261">
            <v>1480.307441</v>
          </cell>
        </row>
        <row r="261">
          <cell r="P261">
            <v>917.974204</v>
          </cell>
        </row>
        <row r="262">
          <cell r="C262" t="str">
            <v>2050203</v>
          </cell>
        </row>
        <row r="262">
          <cell r="M262">
            <v>44.833442</v>
          </cell>
        </row>
        <row r="262">
          <cell r="P262">
            <v>26.086674</v>
          </cell>
        </row>
        <row r="263">
          <cell r="C263" t="str">
            <v>2050203</v>
          </cell>
        </row>
        <row r="263">
          <cell r="M263">
            <v>28</v>
          </cell>
        </row>
        <row r="263">
          <cell r="P263">
            <v>19.54</v>
          </cell>
        </row>
        <row r="264">
          <cell r="C264" t="str">
            <v>2050203</v>
          </cell>
        </row>
        <row r="264">
          <cell r="M264">
            <v>916.2987</v>
          </cell>
        </row>
        <row r="264">
          <cell r="P264">
            <v>599.441107</v>
          </cell>
        </row>
        <row r="265">
          <cell r="C265" t="str">
            <v>2050203</v>
          </cell>
        </row>
        <row r="265">
          <cell r="M265">
            <v>360.594626</v>
          </cell>
        </row>
        <row r="265">
          <cell r="P265">
            <v>183.662595</v>
          </cell>
        </row>
        <row r="266">
          <cell r="C266" t="str">
            <v>2050203</v>
          </cell>
        </row>
        <row r="266">
          <cell r="M266">
            <v>119.555844</v>
          </cell>
        </row>
        <row r="266">
          <cell r="P266">
            <v>79.618999</v>
          </cell>
        </row>
        <row r="267">
          <cell r="C267" t="str">
            <v>2050203</v>
          </cell>
        </row>
        <row r="267">
          <cell r="M267">
            <v>9.624829</v>
          </cell>
        </row>
        <row r="267">
          <cell r="P267">
            <v>9.624829</v>
          </cell>
        </row>
        <row r="268">
          <cell r="C268" t="str">
            <v>2050203</v>
          </cell>
        </row>
        <row r="268">
          <cell r="M268">
            <v>1.4</v>
          </cell>
        </row>
        <row r="268">
          <cell r="P268">
            <v>0</v>
          </cell>
        </row>
        <row r="269">
          <cell r="M269">
            <v>1693.444847</v>
          </cell>
        </row>
        <row r="269">
          <cell r="P269">
            <v>1087.843318</v>
          </cell>
        </row>
        <row r="270">
          <cell r="C270" t="str">
            <v>2050203</v>
          </cell>
        </row>
        <row r="270">
          <cell r="M270">
            <v>1036.8389</v>
          </cell>
        </row>
        <row r="270">
          <cell r="P270">
            <v>700.620852</v>
          </cell>
        </row>
        <row r="271">
          <cell r="C271" t="str">
            <v>2050203</v>
          </cell>
        </row>
        <row r="271">
          <cell r="M271">
            <v>136.420668</v>
          </cell>
        </row>
        <row r="271">
          <cell r="P271">
            <v>90.537937</v>
          </cell>
        </row>
        <row r="272">
          <cell r="C272" t="str">
            <v>2050203</v>
          </cell>
        </row>
        <row r="272">
          <cell r="M272">
            <v>8.729791</v>
          </cell>
        </row>
        <row r="272">
          <cell r="P272">
            <v>8.643199</v>
          </cell>
        </row>
        <row r="273">
          <cell r="C273" t="str">
            <v>2050203</v>
          </cell>
        </row>
        <row r="273">
          <cell r="M273">
            <v>2.3</v>
          </cell>
        </row>
        <row r="273">
          <cell r="P273">
            <v>2.07</v>
          </cell>
        </row>
        <row r="274">
          <cell r="C274" t="str">
            <v>2050203</v>
          </cell>
        </row>
        <row r="274">
          <cell r="M274">
            <v>51.157751</v>
          </cell>
        </row>
        <row r="274">
          <cell r="P274">
            <v>29.043978</v>
          </cell>
        </row>
        <row r="275">
          <cell r="C275" t="str">
            <v>2050203</v>
          </cell>
        </row>
        <row r="275">
          <cell r="M275">
            <v>411.997737</v>
          </cell>
        </row>
        <row r="275">
          <cell r="P275">
            <v>210.962103</v>
          </cell>
        </row>
        <row r="276">
          <cell r="C276" t="str">
            <v>2050203</v>
          </cell>
        </row>
        <row r="276">
          <cell r="M276">
            <v>46</v>
          </cell>
        </row>
        <row r="276">
          <cell r="P276">
            <v>45.965249</v>
          </cell>
        </row>
        <row r="277">
          <cell r="M277">
            <v>692.201831</v>
          </cell>
        </row>
        <row r="277">
          <cell r="P277">
            <v>449.02183</v>
          </cell>
        </row>
        <row r="278">
          <cell r="C278" t="str">
            <v>2050203</v>
          </cell>
        </row>
        <row r="278">
          <cell r="M278">
            <v>44</v>
          </cell>
        </row>
        <row r="278">
          <cell r="P278">
            <v>44</v>
          </cell>
        </row>
        <row r="279">
          <cell r="C279" t="str">
            <v>2050203</v>
          </cell>
        </row>
        <row r="279">
          <cell r="M279">
            <v>49.832664</v>
          </cell>
        </row>
        <row r="279">
          <cell r="P279">
            <v>32.802916</v>
          </cell>
        </row>
        <row r="280">
          <cell r="C280" t="str">
            <v>2050203</v>
          </cell>
        </row>
        <row r="280">
          <cell r="M280">
            <v>11.669859</v>
          </cell>
        </row>
        <row r="280">
          <cell r="P280">
            <v>11.669859</v>
          </cell>
        </row>
        <row r="281">
          <cell r="C281" t="str">
            <v>2050203</v>
          </cell>
        </row>
        <row r="281">
          <cell r="M281">
            <v>150.539859</v>
          </cell>
        </row>
        <row r="281">
          <cell r="P281">
            <v>77.820783</v>
          </cell>
        </row>
        <row r="282">
          <cell r="C282" t="str">
            <v>2050203</v>
          </cell>
        </row>
        <row r="282">
          <cell r="M282">
            <v>18.687249</v>
          </cell>
        </row>
        <row r="282">
          <cell r="P282">
            <v>14.661444</v>
          </cell>
        </row>
        <row r="283">
          <cell r="C283" t="str">
            <v>2050203</v>
          </cell>
        </row>
        <row r="283">
          <cell r="M283">
            <v>2.2</v>
          </cell>
        </row>
        <row r="283">
          <cell r="P283">
            <v>1.95</v>
          </cell>
        </row>
        <row r="284">
          <cell r="C284" t="str">
            <v>2050203</v>
          </cell>
        </row>
        <row r="284">
          <cell r="M284">
            <v>415.2722</v>
          </cell>
        </row>
        <row r="284">
          <cell r="P284">
            <v>266.116828</v>
          </cell>
        </row>
        <row r="285">
          <cell r="M285">
            <v>799.81181</v>
          </cell>
        </row>
        <row r="285">
          <cell r="P285">
            <v>498.54392</v>
          </cell>
        </row>
        <row r="286">
          <cell r="C286" t="str">
            <v>2050203</v>
          </cell>
        </row>
        <row r="286">
          <cell r="M286">
            <v>23.333468</v>
          </cell>
        </row>
        <row r="286">
          <cell r="P286">
            <v>13.65643</v>
          </cell>
        </row>
        <row r="287">
          <cell r="C287" t="str">
            <v>2050203</v>
          </cell>
        </row>
        <row r="287">
          <cell r="M287">
            <v>38</v>
          </cell>
        </row>
        <row r="287">
          <cell r="P287">
            <v>38</v>
          </cell>
        </row>
        <row r="288">
          <cell r="C288" t="str">
            <v>2050203</v>
          </cell>
        </row>
        <row r="288">
          <cell r="M288">
            <v>480.5215</v>
          </cell>
        </row>
        <row r="288">
          <cell r="P288">
            <v>287.57046</v>
          </cell>
        </row>
        <row r="289">
          <cell r="C289" t="str">
            <v>2050203</v>
          </cell>
        </row>
        <row r="289">
          <cell r="M289">
            <v>8.96676</v>
          </cell>
        </row>
        <row r="289">
          <cell r="P289">
            <v>5.9098</v>
          </cell>
        </row>
        <row r="290">
          <cell r="C290" t="str">
            <v>2050203</v>
          </cell>
        </row>
        <row r="290">
          <cell r="M290">
            <v>62.22258</v>
          </cell>
        </row>
        <row r="290">
          <cell r="P290">
            <v>42.199291</v>
          </cell>
        </row>
        <row r="291">
          <cell r="C291" t="str">
            <v>2050203</v>
          </cell>
        </row>
        <row r="291">
          <cell r="M291">
            <v>184.507502</v>
          </cell>
        </row>
        <row r="291">
          <cell r="P291">
            <v>109.937939</v>
          </cell>
        </row>
        <row r="292">
          <cell r="C292" t="str">
            <v>2050203</v>
          </cell>
        </row>
        <row r="292">
          <cell r="M292">
            <v>2.26</v>
          </cell>
        </row>
        <row r="292">
          <cell r="P292">
            <v>1.27</v>
          </cell>
        </row>
        <row r="293">
          <cell r="M293">
            <v>951.392848</v>
          </cell>
        </row>
        <row r="293">
          <cell r="P293">
            <v>619.548713</v>
          </cell>
        </row>
        <row r="294">
          <cell r="C294" t="str">
            <v>2050203</v>
          </cell>
        </row>
        <row r="294">
          <cell r="M294">
            <v>568.0189</v>
          </cell>
        </row>
        <row r="294">
          <cell r="P294">
            <v>355.459246</v>
          </cell>
        </row>
        <row r="295">
          <cell r="C295" t="str">
            <v>2050203</v>
          </cell>
        </row>
        <row r="295">
          <cell r="M295">
            <v>2.68</v>
          </cell>
        </row>
        <row r="295">
          <cell r="P295">
            <v>1.51</v>
          </cell>
        </row>
        <row r="296">
          <cell r="C296" t="str">
            <v>2050203</v>
          </cell>
        </row>
        <row r="296">
          <cell r="M296">
            <v>9.698264</v>
          </cell>
        </row>
        <row r="296">
          <cell r="P296">
            <v>9.698264</v>
          </cell>
        </row>
        <row r="297">
          <cell r="C297" t="str">
            <v>2050203</v>
          </cell>
        </row>
        <row r="297">
          <cell r="M297">
            <v>44</v>
          </cell>
        </row>
        <row r="297">
          <cell r="P297">
            <v>44</v>
          </cell>
        </row>
        <row r="298">
          <cell r="C298" t="str">
            <v>2050203</v>
          </cell>
        </row>
        <row r="298">
          <cell r="M298">
            <v>223.372565</v>
          </cell>
        </row>
        <row r="298">
          <cell r="P298">
            <v>141.52991</v>
          </cell>
        </row>
        <row r="299">
          <cell r="C299" t="str">
            <v>2050203</v>
          </cell>
        </row>
        <row r="299">
          <cell r="M299">
            <v>28.260851</v>
          </cell>
        </row>
        <row r="299">
          <cell r="P299">
            <v>16.240678</v>
          </cell>
        </row>
        <row r="300">
          <cell r="C300" t="str">
            <v>2050203</v>
          </cell>
        </row>
        <row r="300">
          <cell r="M300">
            <v>75.362268</v>
          </cell>
        </row>
        <row r="300">
          <cell r="P300">
            <v>51.110615</v>
          </cell>
        </row>
        <row r="301">
          <cell r="M301">
            <v>1867.499123</v>
          </cell>
        </row>
        <row r="301">
          <cell r="P301">
            <v>1170.961104</v>
          </cell>
        </row>
        <row r="302">
          <cell r="C302" t="str">
            <v>2050203</v>
          </cell>
        </row>
        <row r="302">
          <cell r="M302">
            <v>1129.4511</v>
          </cell>
        </row>
        <row r="302">
          <cell r="P302">
            <v>724.282138</v>
          </cell>
        </row>
        <row r="303">
          <cell r="C303" t="str">
            <v>2050203</v>
          </cell>
        </row>
        <row r="303">
          <cell r="M303">
            <v>432.882537</v>
          </cell>
        </row>
        <row r="303">
          <cell r="P303">
            <v>209.398476</v>
          </cell>
        </row>
        <row r="304">
          <cell r="C304" t="str">
            <v>2050203</v>
          </cell>
        </row>
        <row r="304">
          <cell r="M304">
            <v>21.456054</v>
          </cell>
        </row>
        <row r="304">
          <cell r="P304">
            <v>18.284793</v>
          </cell>
        </row>
        <row r="305">
          <cell r="C305" t="str">
            <v>2050203</v>
          </cell>
        </row>
        <row r="305">
          <cell r="M305">
            <v>78</v>
          </cell>
        </row>
        <row r="305">
          <cell r="P305">
            <v>78</v>
          </cell>
        </row>
        <row r="306">
          <cell r="C306" t="str">
            <v>2050203</v>
          </cell>
        </row>
        <row r="306">
          <cell r="M306">
            <v>4.5</v>
          </cell>
        </row>
        <row r="306">
          <cell r="P306">
            <v>2.8</v>
          </cell>
        </row>
        <row r="307">
          <cell r="C307" t="str">
            <v>2050203</v>
          </cell>
        </row>
        <row r="307">
          <cell r="M307">
            <v>146.334132</v>
          </cell>
        </row>
        <row r="307">
          <cell r="P307">
            <v>103.952708</v>
          </cell>
        </row>
        <row r="308">
          <cell r="C308" t="str">
            <v>2050203</v>
          </cell>
        </row>
        <row r="308">
          <cell r="M308">
            <v>54.8753</v>
          </cell>
        </row>
        <row r="308">
          <cell r="P308">
            <v>34.242989</v>
          </cell>
        </row>
        <row r="309">
          <cell r="M309">
            <v>4669.455649</v>
          </cell>
        </row>
        <row r="309">
          <cell r="P309">
            <v>3004.287472</v>
          </cell>
        </row>
        <row r="310">
          <cell r="C310" t="str">
            <v>2050202</v>
          </cell>
        </row>
        <row r="310">
          <cell r="M310">
            <v>368.803536</v>
          </cell>
        </row>
        <row r="310">
          <cell r="P310">
            <v>230.865311</v>
          </cell>
        </row>
        <row r="311">
          <cell r="C311" t="str">
            <v>2050202</v>
          </cell>
        </row>
        <row r="311">
          <cell r="M311">
            <v>1111.07672</v>
          </cell>
        </row>
        <row r="311">
          <cell r="P311">
            <v>643.187685</v>
          </cell>
        </row>
        <row r="312">
          <cell r="C312" t="str">
            <v>2050202</v>
          </cell>
        </row>
        <row r="312">
          <cell r="M312">
            <v>2843.3628</v>
          </cell>
        </row>
        <row r="312">
          <cell r="P312">
            <v>1834.135773</v>
          </cell>
        </row>
        <row r="313">
          <cell r="C313" t="str">
            <v>2050202</v>
          </cell>
        </row>
        <row r="313">
          <cell r="M313">
            <v>158</v>
          </cell>
        </row>
        <row r="313">
          <cell r="P313">
            <v>158</v>
          </cell>
        </row>
        <row r="314">
          <cell r="C314" t="str">
            <v>2050202</v>
          </cell>
        </row>
        <row r="314">
          <cell r="M314">
            <v>7.9</v>
          </cell>
        </row>
        <row r="314">
          <cell r="P314">
            <v>5.3503</v>
          </cell>
        </row>
        <row r="315">
          <cell r="C315" t="str">
            <v>2050202</v>
          </cell>
        </row>
        <row r="315">
          <cell r="M315">
            <v>138.301326</v>
          </cell>
        </row>
        <row r="315">
          <cell r="P315">
            <v>94.805536</v>
          </cell>
        </row>
        <row r="316">
          <cell r="C316" t="str">
            <v>2050202</v>
          </cell>
        </row>
        <row r="316">
          <cell r="M316">
            <v>42.011267</v>
          </cell>
        </row>
        <row r="316">
          <cell r="P316">
            <v>37.942867</v>
          </cell>
        </row>
        <row r="317">
          <cell r="M317">
            <v>3294.641564</v>
          </cell>
        </row>
        <row r="317">
          <cell r="P317">
            <v>2291.792966</v>
          </cell>
        </row>
        <row r="318">
          <cell r="C318" t="str">
            <v>2050202</v>
          </cell>
        </row>
        <row r="318">
          <cell r="M318">
            <v>16.9</v>
          </cell>
        </row>
        <row r="318">
          <cell r="P318">
            <v>12.4</v>
          </cell>
        </row>
        <row r="319">
          <cell r="C319" t="str">
            <v>2050202</v>
          </cell>
        </row>
        <row r="319">
          <cell r="M319">
            <v>759.817653</v>
          </cell>
        </row>
        <row r="319">
          <cell r="P319">
            <v>429.606347</v>
          </cell>
        </row>
        <row r="320">
          <cell r="C320" t="str">
            <v>2050202</v>
          </cell>
        </row>
        <row r="320">
          <cell r="M320">
            <v>94.421979</v>
          </cell>
        </row>
        <row r="320">
          <cell r="P320">
            <v>72.037724</v>
          </cell>
        </row>
        <row r="321">
          <cell r="C321" t="str">
            <v>2050202</v>
          </cell>
        </row>
        <row r="321">
          <cell r="M321">
            <v>251.791944</v>
          </cell>
        </row>
        <row r="321">
          <cell r="P321">
            <v>159.853722</v>
          </cell>
        </row>
        <row r="322">
          <cell r="C322" t="str">
            <v>2050202</v>
          </cell>
        </row>
        <row r="322">
          <cell r="M322">
            <v>85.443788</v>
          </cell>
        </row>
        <row r="322">
          <cell r="P322">
            <v>66.275634</v>
          </cell>
        </row>
        <row r="323">
          <cell r="C323" t="str">
            <v>2050202</v>
          </cell>
        </row>
        <row r="323">
          <cell r="M323">
            <v>1748.2662</v>
          </cell>
        </row>
        <row r="323">
          <cell r="P323">
            <v>1213.619539</v>
          </cell>
        </row>
        <row r="324">
          <cell r="C324" t="str">
            <v>2050202</v>
          </cell>
        </row>
        <row r="324">
          <cell r="M324">
            <v>338</v>
          </cell>
        </row>
        <row r="324">
          <cell r="P324">
            <v>338</v>
          </cell>
        </row>
        <row r="325">
          <cell r="M325">
            <v>2689.191562</v>
          </cell>
        </row>
        <row r="325">
          <cell r="P325">
            <v>1728.874882</v>
          </cell>
        </row>
        <row r="326">
          <cell r="C326" t="str">
            <v>2050202</v>
          </cell>
        </row>
        <row r="326">
          <cell r="M326">
            <v>1513.9728</v>
          </cell>
        </row>
        <row r="326">
          <cell r="P326">
            <v>937.074276</v>
          </cell>
        </row>
        <row r="327">
          <cell r="C327" t="str">
            <v>2050202</v>
          </cell>
        </row>
        <row r="327">
          <cell r="M327">
            <v>216</v>
          </cell>
        </row>
        <row r="327">
          <cell r="P327">
            <v>216</v>
          </cell>
        </row>
        <row r="328">
          <cell r="C328" t="str">
            <v>2050202</v>
          </cell>
        </row>
        <row r="328">
          <cell r="M328">
            <v>76.228776</v>
          </cell>
        </row>
        <row r="328">
          <cell r="P328">
            <v>48.493168</v>
          </cell>
        </row>
        <row r="329">
          <cell r="C329" t="str">
            <v>2050202</v>
          </cell>
        </row>
        <row r="329">
          <cell r="M329">
            <v>66.498192</v>
          </cell>
        </row>
        <row r="329">
          <cell r="P329">
            <v>40.281726</v>
          </cell>
        </row>
        <row r="330">
          <cell r="C330" t="str">
            <v>2050202</v>
          </cell>
        </row>
        <row r="330">
          <cell r="M330">
            <v>12.69</v>
          </cell>
        </row>
        <row r="330">
          <cell r="P330">
            <v>6.7622</v>
          </cell>
        </row>
        <row r="331">
          <cell r="C331" t="str">
            <v>2050202</v>
          </cell>
        </row>
        <row r="331">
          <cell r="M331">
            <v>600.525058</v>
          </cell>
        </row>
        <row r="331">
          <cell r="P331">
            <v>341.142269</v>
          </cell>
        </row>
        <row r="332">
          <cell r="C332" t="str">
            <v>2050202</v>
          </cell>
        </row>
        <row r="332">
          <cell r="M332">
            <v>203.276736</v>
          </cell>
        </row>
        <row r="332">
          <cell r="P332">
            <v>139.121243</v>
          </cell>
        </row>
        <row r="333">
          <cell r="M333">
            <v>1994.543921</v>
          </cell>
        </row>
        <row r="333">
          <cell r="P333">
            <v>1278.770226</v>
          </cell>
        </row>
        <row r="334">
          <cell r="C334" t="str">
            <v>2050202</v>
          </cell>
        </row>
        <row r="334">
          <cell r="M334">
            <v>1116.3118</v>
          </cell>
        </row>
        <row r="334">
          <cell r="P334">
            <v>719.483762</v>
          </cell>
        </row>
        <row r="335">
          <cell r="C335" t="str">
            <v>2050202</v>
          </cell>
        </row>
        <row r="335">
          <cell r="M335">
            <v>66.769253</v>
          </cell>
        </row>
        <row r="335">
          <cell r="P335">
            <v>36.678048</v>
          </cell>
        </row>
        <row r="336">
          <cell r="C336" t="str">
            <v>2050202</v>
          </cell>
        </row>
        <row r="336">
          <cell r="M336">
            <v>184</v>
          </cell>
        </row>
        <row r="336">
          <cell r="P336">
            <v>163.408685</v>
          </cell>
        </row>
        <row r="337">
          <cell r="C337" t="str">
            <v>2050202</v>
          </cell>
        </row>
        <row r="337">
          <cell r="M337">
            <v>142.357416</v>
          </cell>
        </row>
        <row r="337">
          <cell r="P337">
            <v>100.679583</v>
          </cell>
        </row>
        <row r="338">
          <cell r="C338" t="str">
            <v>2050202</v>
          </cell>
        </row>
        <row r="338">
          <cell r="M338">
            <v>53.384031</v>
          </cell>
        </row>
        <row r="338">
          <cell r="P338">
            <v>33.794077</v>
          </cell>
        </row>
        <row r="339">
          <cell r="C339" t="str">
            <v>2050202</v>
          </cell>
        </row>
        <row r="339">
          <cell r="M339">
            <v>11.03</v>
          </cell>
        </row>
        <row r="339">
          <cell r="P339">
            <v>5.67975</v>
          </cell>
        </row>
        <row r="340">
          <cell r="C340" t="str">
            <v>2050202</v>
          </cell>
        </row>
        <row r="340">
          <cell r="M340">
            <v>420.691421</v>
          </cell>
        </row>
        <row r="340">
          <cell r="P340">
            <v>219.046321</v>
          </cell>
        </row>
        <row r="341">
          <cell r="M341">
            <v>1.713408</v>
          </cell>
        </row>
        <row r="341">
          <cell r="P341">
            <v>1.713344</v>
          </cell>
        </row>
        <row r="342">
          <cell r="C342" t="str">
            <v>2050202</v>
          </cell>
        </row>
        <row r="342">
          <cell r="M342">
            <v>0</v>
          </cell>
        </row>
        <row r="342">
          <cell r="P342">
            <v>0</v>
          </cell>
        </row>
        <row r="343">
          <cell r="C343" t="str">
            <v>2050202</v>
          </cell>
        </row>
        <row r="343">
          <cell r="M343">
            <v>6.4000000000064e-5</v>
          </cell>
        </row>
        <row r="343">
          <cell r="P343">
            <v>0</v>
          </cell>
        </row>
        <row r="344">
          <cell r="C344" t="str">
            <v>2050202</v>
          </cell>
        </row>
        <row r="344">
          <cell r="M344">
            <v>0</v>
          </cell>
        </row>
        <row r="344">
          <cell r="P344">
            <v>0</v>
          </cell>
        </row>
        <row r="345">
          <cell r="C345" t="str">
            <v>2050202</v>
          </cell>
        </row>
        <row r="345">
          <cell r="M345">
            <v>1.713344</v>
          </cell>
        </row>
        <row r="345">
          <cell r="P345">
            <v>1.713344</v>
          </cell>
        </row>
        <row r="346">
          <cell r="M346">
            <v>210.300797</v>
          </cell>
        </row>
        <row r="346">
          <cell r="P346">
            <v>169.052633</v>
          </cell>
        </row>
        <row r="347">
          <cell r="C347" t="str">
            <v>2070101</v>
          </cell>
        </row>
        <row r="347">
          <cell r="M347">
            <v>0.513589</v>
          </cell>
        </row>
        <row r="347">
          <cell r="P347">
            <v>0.513589</v>
          </cell>
        </row>
        <row r="348">
          <cell r="C348" t="str">
            <v>2070101</v>
          </cell>
        </row>
        <row r="348">
          <cell r="M348">
            <v>3.66</v>
          </cell>
        </row>
        <row r="348">
          <cell r="P348">
            <v>2.236108</v>
          </cell>
        </row>
        <row r="349">
          <cell r="C349" t="str">
            <v>2070101</v>
          </cell>
        </row>
        <row r="349">
          <cell r="M349">
            <v>0.1</v>
          </cell>
        </row>
        <row r="349">
          <cell r="P349">
            <v>0.051605</v>
          </cell>
        </row>
        <row r="350">
          <cell r="C350" t="str">
            <v>2070101</v>
          </cell>
        </row>
        <row r="350">
          <cell r="M350">
            <v>150.53238</v>
          </cell>
        </row>
        <row r="350">
          <cell r="P350">
            <v>113.994832</v>
          </cell>
        </row>
        <row r="351">
          <cell r="C351" t="str">
            <v>2070101</v>
          </cell>
        </row>
        <row r="351">
          <cell r="M351">
            <v>3.165</v>
          </cell>
        </row>
        <row r="351">
          <cell r="P351">
            <v>3.165</v>
          </cell>
        </row>
        <row r="352">
          <cell r="C352" t="str">
            <v>2070101</v>
          </cell>
        </row>
        <row r="352">
          <cell r="M352">
            <v>10.705486</v>
          </cell>
        </row>
        <row r="352">
          <cell r="P352">
            <v>10.705486</v>
          </cell>
        </row>
        <row r="353">
          <cell r="C353" t="str">
            <v>2070101</v>
          </cell>
        </row>
        <row r="353">
          <cell r="M353">
            <v>8</v>
          </cell>
        </row>
        <row r="353">
          <cell r="P353">
            <v>4.761671</v>
          </cell>
        </row>
        <row r="354">
          <cell r="C354" t="str">
            <v>2070101</v>
          </cell>
        </row>
        <row r="354">
          <cell r="M354">
            <v>4.014558</v>
          </cell>
        </row>
        <row r="354">
          <cell r="P354">
            <v>4.014558</v>
          </cell>
        </row>
        <row r="355">
          <cell r="C355" t="str">
            <v>2070101</v>
          </cell>
        </row>
        <row r="355">
          <cell r="M355">
            <v>29.609784</v>
          </cell>
        </row>
        <row r="355">
          <cell r="P355">
            <v>29.609784</v>
          </cell>
        </row>
        <row r="356">
          <cell r="M356">
            <v>103.340105</v>
          </cell>
        </row>
        <row r="356">
          <cell r="P356">
            <v>78.611812</v>
          </cell>
        </row>
        <row r="357">
          <cell r="C357" t="str">
            <v>2060101</v>
          </cell>
        </row>
        <row r="357">
          <cell r="M357">
            <v>1.92821</v>
          </cell>
        </row>
        <row r="357">
          <cell r="P357">
            <v>1.758389</v>
          </cell>
        </row>
        <row r="358">
          <cell r="C358" t="str">
            <v>2060101</v>
          </cell>
        </row>
        <row r="358">
          <cell r="M358">
            <v>70.662077</v>
          </cell>
        </row>
        <row r="358">
          <cell r="P358">
            <v>52.928884</v>
          </cell>
        </row>
        <row r="359">
          <cell r="C359" t="str">
            <v>2060101</v>
          </cell>
        </row>
        <row r="359">
          <cell r="M359">
            <v>0.2</v>
          </cell>
        </row>
        <row r="359">
          <cell r="P359">
            <v>0.2</v>
          </cell>
        </row>
        <row r="360">
          <cell r="C360" t="str">
            <v>2060101</v>
          </cell>
        </row>
        <row r="360">
          <cell r="M360">
            <v>4.5108</v>
          </cell>
        </row>
        <row r="360">
          <cell r="P360">
            <v>3.99147</v>
          </cell>
        </row>
        <row r="361">
          <cell r="C361" t="str">
            <v>2060101</v>
          </cell>
        </row>
        <row r="361">
          <cell r="M361">
            <v>13.693439</v>
          </cell>
        </row>
        <row r="361">
          <cell r="P361">
            <v>11.571571</v>
          </cell>
        </row>
        <row r="362">
          <cell r="C362" t="str">
            <v>2060101</v>
          </cell>
        </row>
        <row r="362">
          <cell r="M362">
            <v>4</v>
          </cell>
        </row>
        <row r="362">
          <cell r="P362">
            <v>1.442018</v>
          </cell>
        </row>
        <row r="363">
          <cell r="C363" t="str">
            <v>2060101</v>
          </cell>
        </row>
        <row r="363">
          <cell r="M363">
            <v>5.141892</v>
          </cell>
        </row>
        <row r="363">
          <cell r="P363">
            <v>4.311152</v>
          </cell>
        </row>
        <row r="364">
          <cell r="C364" t="str">
            <v>2060101</v>
          </cell>
        </row>
        <row r="364">
          <cell r="M364">
            <v>2.22</v>
          </cell>
        </row>
        <row r="364">
          <cell r="P364">
            <v>1.537892</v>
          </cell>
        </row>
        <row r="365">
          <cell r="C365" t="str">
            <v>2060101</v>
          </cell>
        </row>
        <row r="365">
          <cell r="M365">
            <v>0.983687</v>
          </cell>
        </row>
        <row r="365">
          <cell r="P365">
            <v>0.870436</v>
          </cell>
        </row>
        <row r="366">
          <cell r="M366">
            <v>207.102138</v>
          </cell>
        </row>
        <row r="366">
          <cell r="P366">
            <v>150.595893</v>
          </cell>
        </row>
        <row r="367">
          <cell r="C367" t="str">
            <v>2060101</v>
          </cell>
        </row>
        <row r="367">
          <cell r="M367">
            <v>7.228</v>
          </cell>
        </row>
        <row r="367">
          <cell r="P367">
            <v>2.381108</v>
          </cell>
        </row>
        <row r="368">
          <cell r="C368" t="str">
            <v>2060101</v>
          </cell>
        </row>
        <row r="368">
          <cell r="M368">
            <v>8</v>
          </cell>
        </row>
        <row r="368">
          <cell r="P368">
            <v>2.714704</v>
          </cell>
        </row>
        <row r="369">
          <cell r="C369" t="str">
            <v>2060101</v>
          </cell>
        </row>
        <row r="369">
          <cell r="M369">
            <v>11.917121</v>
          </cell>
        </row>
        <row r="369">
          <cell r="P369">
            <v>11.917121</v>
          </cell>
        </row>
        <row r="370">
          <cell r="C370" t="str">
            <v>2060101</v>
          </cell>
        </row>
        <row r="370">
          <cell r="M370">
            <v>34.646752</v>
          </cell>
        </row>
        <row r="370">
          <cell r="P370">
            <v>30.54238</v>
          </cell>
        </row>
        <row r="371">
          <cell r="C371" t="str">
            <v>2060101</v>
          </cell>
        </row>
        <row r="371">
          <cell r="M371">
            <v>4.468921</v>
          </cell>
        </row>
        <row r="371">
          <cell r="P371">
            <v>3.200871</v>
          </cell>
        </row>
        <row r="372">
          <cell r="C372" t="str">
            <v>2060101</v>
          </cell>
        </row>
        <row r="372">
          <cell r="M372">
            <v>140.841344</v>
          </cell>
        </row>
        <row r="372">
          <cell r="P372">
            <v>99.839709</v>
          </cell>
        </row>
        <row r="373">
          <cell r="M373">
            <v>243.407658</v>
          </cell>
        </row>
        <row r="373">
          <cell r="P373">
            <v>268.650852</v>
          </cell>
        </row>
        <row r="374">
          <cell r="C374" t="str">
            <v>2010401</v>
          </cell>
        </row>
        <row r="374">
          <cell r="M374">
            <v>3.122645</v>
          </cell>
        </row>
        <row r="374">
          <cell r="P374">
            <v>2.949751</v>
          </cell>
        </row>
        <row r="375">
          <cell r="C375" t="str">
            <v>2010401</v>
          </cell>
        </row>
        <row r="375">
          <cell r="M375">
            <v>6.070379</v>
          </cell>
        </row>
        <row r="375">
          <cell r="P375">
            <v>6.070379</v>
          </cell>
        </row>
        <row r="376">
          <cell r="C376" t="str">
            <v>2010401</v>
          </cell>
        </row>
        <row r="376">
          <cell r="M376">
            <v>132.8373</v>
          </cell>
        </row>
        <row r="376">
          <cell r="P376">
            <v>164.121045</v>
          </cell>
        </row>
        <row r="377">
          <cell r="C377" t="str">
            <v>2010401</v>
          </cell>
        </row>
        <row r="377">
          <cell r="M377">
            <v>16.187676</v>
          </cell>
        </row>
        <row r="377">
          <cell r="P377">
            <v>16.187676</v>
          </cell>
        </row>
        <row r="378">
          <cell r="C378" t="str">
            <v>2010401</v>
          </cell>
        </row>
        <row r="378">
          <cell r="M378">
            <v>46.413258</v>
          </cell>
        </row>
        <row r="378">
          <cell r="P378">
            <v>43.423595</v>
          </cell>
        </row>
        <row r="379">
          <cell r="C379" t="str">
            <v>2010401</v>
          </cell>
        </row>
        <row r="379">
          <cell r="M379">
            <v>0.75</v>
          </cell>
        </row>
        <row r="379">
          <cell r="P379">
            <v>0.399426</v>
          </cell>
        </row>
        <row r="380">
          <cell r="C380" t="str">
            <v>2010401</v>
          </cell>
        </row>
        <row r="380">
          <cell r="M380">
            <v>4.08</v>
          </cell>
        </row>
        <row r="380">
          <cell r="P380">
            <v>3.727414</v>
          </cell>
        </row>
        <row r="381">
          <cell r="C381" t="str">
            <v>2010401</v>
          </cell>
        </row>
        <row r="381">
          <cell r="M381">
            <v>22.9464</v>
          </cell>
        </row>
        <row r="381">
          <cell r="P381">
            <v>22.9464</v>
          </cell>
        </row>
        <row r="382">
          <cell r="C382" t="str">
            <v>2010401</v>
          </cell>
        </row>
        <row r="382">
          <cell r="M382">
            <v>11</v>
          </cell>
        </row>
        <row r="382">
          <cell r="P382">
            <v>8.825166</v>
          </cell>
        </row>
        <row r="383">
          <cell r="M383">
            <v>1436.580647</v>
          </cell>
        </row>
        <row r="383">
          <cell r="P383">
            <v>866.155615</v>
          </cell>
        </row>
        <row r="384">
          <cell r="C384" t="str">
            <v>2011301</v>
          </cell>
        </row>
        <row r="384">
          <cell r="M384">
            <v>12.96</v>
          </cell>
        </row>
        <row r="384">
          <cell r="P384">
            <v>0.26</v>
          </cell>
        </row>
        <row r="385">
          <cell r="C385" t="str">
            <v>2011301</v>
          </cell>
        </row>
        <row r="385">
          <cell r="M385">
            <v>3.643404</v>
          </cell>
        </row>
        <row r="385">
          <cell r="P385">
            <v>2.16</v>
          </cell>
        </row>
        <row r="386">
          <cell r="C386" t="str">
            <v>2011301</v>
          </cell>
        </row>
        <row r="386">
          <cell r="M386">
            <v>0.13</v>
          </cell>
        </row>
        <row r="386">
          <cell r="P386">
            <v>0.11</v>
          </cell>
        </row>
        <row r="387">
          <cell r="C387" t="str">
            <v>2011301</v>
          </cell>
        </row>
        <row r="387">
          <cell r="M387">
            <v>35</v>
          </cell>
        </row>
        <row r="387">
          <cell r="P387">
            <v>18.657044</v>
          </cell>
        </row>
        <row r="388">
          <cell r="C388" t="str">
            <v>2011301</v>
          </cell>
        </row>
        <row r="388">
          <cell r="M388">
            <v>17.756201</v>
          </cell>
        </row>
        <row r="388">
          <cell r="P388">
            <v>17.756201</v>
          </cell>
        </row>
        <row r="389">
          <cell r="C389" t="str">
            <v>2011301</v>
          </cell>
        </row>
        <row r="389">
          <cell r="M389">
            <v>1187.829129</v>
          </cell>
        </row>
        <row r="389">
          <cell r="P389">
            <v>727.661117</v>
          </cell>
        </row>
        <row r="390">
          <cell r="C390" t="str">
            <v>2011301</v>
          </cell>
        </row>
        <row r="390">
          <cell r="M390">
            <v>131.42347</v>
          </cell>
        </row>
        <row r="390">
          <cell r="P390">
            <v>69.042853</v>
          </cell>
        </row>
        <row r="391">
          <cell r="C391" t="str">
            <v>2011301</v>
          </cell>
        </row>
        <row r="391">
          <cell r="M391">
            <v>47.349868</v>
          </cell>
        </row>
        <row r="391">
          <cell r="P391">
            <v>30.5084</v>
          </cell>
        </row>
        <row r="392">
          <cell r="C392" t="str">
            <v>2011301</v>
          </cell>
        </row>
        <row r="392">
          <cell r="M392">
            <v>0.488575</v>
          </cell>
        </row>
        <row r="392">
          <cell r="P392">
            <v>0</v>
          </cell>
        </row>
        <row r="393">
          <cell r="M393">
            <v>297.536142</v>
          </cell>
        </row>
        <row r="393">
          <cell r="P393">
            <v>266.372118</v>
          </cell>
        </row>
        <row r="394">
          <cell r="C394" t="str">
            <v>2011301</v>
          </cell>
        </row>
        <row r="394">
          <cell r="M394">
            <v>8.08</v>
          </cell>
        </row>
        <row r="394">
          <cell r="P394">
            <v>2.941419</v>
          </cell>
        </row>
        <row r="395">
          <cell r="C395" t="str">
            <v>2011301</v>
          </cell>
        </row>
        <row r="395">
          <cell r="M395">
            <v>14</v>
          </cell>
        </row>
        <row r="395">
          <cell r="P395">
            <v>8.253584</v>
          </cell>
        </row>
        <row r="396">
          <cell r="C396" t="str">
            <v>2011301</v>
          </cell>
        </row>
        <row r="396">
          <cell r="M396">
            <v>53.632905</v>
          </cell>
        </row>
        <row r="396">
          <cell r="P396">
            <v>48.32852</v>
          </cell>
        </row>
        <row r="397">
          <cell r="C397" t="str">
            <v>2011301</v>
          </cell>
        </row>
        <row r="397">
          <cell r="M397">
            <v>18.721437</v>
          </cell>
        </row>
        <row r="397">
          <cell r="P397">
            <v>19.38881</v>
          </cell>
        </row>
        <row r="398">
          <cell r="C398" t="str">
            <v>2011301</v>
          </cell>
        </row>
        <row r="398">
          <cell r="M398">
            <v>7.020539</v>
          </cell>
        </row>
        <row r="398">
          <cell r="P398">
            <v>6.70494</v>
          </cell>
        </row>
        <row r="399">
          <cell r="C399" t="str">
            <v>2011301</v>
          </cell>
        </row>
        <row r="399">
          <cell r="M399">
            <v>5.979757</v>
          </cell>
        </row>
        <row r="399">
          <cell r="P399">
            <v>5.122178</v>
          </cell>
        </row>
        <row r="400">
          <cell r="C400" t="str">
            <v>2011301</v>
          </cell>
        </row>
        <row r="400">
          <cell r="M400">
            <v>36.669528</v>
          </cell>
        </row>
        <row r="400">
          <cell r="P400">
            <v>31.410606</v>
          </cell>
        </row>
        <row r="401">
          <cell r="C401" t="str">
            <v>2011301</v>
          </cell>
        </row>
        <row r="401">
          <cell r="M401">
            <v>151.931976</v>
          </cell>
        </row>
        <row r="401">
          <cell r="P401">
            <v>143.372061</v>
          </cell>
        </row>
        <row r="402">
          <cell r="C402" t="str">
            <v>2011301</v>
          </cell>
        </row>
        <row r="402">
          <cell r="M402">
            <v>1.5</v>
          </cell>
        </row>
        <row r="402">
          <cell r="P402">
            <v>0.85</v>
          </cell>
        </row>
        <row r="403">
          <cell r="M403">
            <v>548.9265</v>
          </cell>
        </row>
        <row r="403">
          <cell r="P403">
            <v>444.311334</v>
          </cell>
        </row>
        <row r="404">
          <cell r="C404" t="str">
            <v>2120101</v>
          </cell>
        </row>
        <row r="404">
          <cell r="M404">
            <v>14.228</v>
          </cell>
        </row>
        <row r="404">
          <cell r="P404">
            <v>2.917612</v>
          </cell>
        </row>
        <row r="405">
          <cell r="C405" t="str">
            <v>2120101</v>
          </cell>
        </row>
        <row r="405">
          <cell r="M405">
            <v>2.4</v>
          </cell>
        </row>
        <row r="405">
          <cell r="P405">
            <v>1.068</v>
          </cell>
        </row>
        <row r="406">
          <cell r="C406" t="str">
            <v>2120101</v>
          </cell>
        </row>
        <row r="406">
          <cell r="M406">
            <v>9.420444</v>
          </cell>
        </row>
        <row r="406">
          <cell r="P406">
            <v>8.465959</v>
          </cell>
        </row>
        <row r="407">
          <cell r="C407" t="str">
            <v>2120101</v>
          </cell>
        </row>
        <row r="407">
          <cell r="M407">
            <v>25.121184</v>
          </cell>
        </row>
        <row r="407">
          <cell r="P407">
            <v>19.023714</v>
          </cell>
        </row>
        <row r="408">
          <cell r="C408" t="str">
            <v>2120101</v>
          </cell>
        </row>
        <row r="408">
          <cell r="M408">
            <v>72.260274</v>
          </cell>
        </row>
        <row r="408">
          <cell r="P408">
            <v>54.721097</v>
          </cell>
        </row>
        <row r="409">
          <cell r="C409" t="str">
            <v>2120101</v>
          </cell>
        </row>
        <row r="409">
          <cell r="M409">
            <v>300.3005</v>
          </cell>
        </row>
        <row r="409">
          <cell r="P409">
            <v>263.909547</v>
          </cell>
        </row>
        <row r="410">
          <cell r="C410" t="str">
            <v>2120101</v>
          </cell>
        </row>
        <row r="410">
          <cell r="M410">
            <v>91.7112</v>
          </cell>
        </row>
        <row r="410">
          <cell r="P410">
            <v>69.134077</v>
          </cell>
        </row>
        <row r="411">
          <cell r="C411" t="str">
            <v>2120101</v>
          </cell>
        </row>
        <row r="411">
          <cell r="M411">
            <v>12.484898</v>
          </cell>
        </row>
        <row r="411">
          <cell r="P411">
            <v>9.454536</v>
          </cell>
        </row>
        <row r="412">
          <cell r="C412" t="str">
            <v>2120101</v>
          </cell>
        </row>
        <row r="412">
          <cell r="M412">
            <v>21</v>
          </cell>
        </row>
        <row r="412">
          <cell r="P412">
            <v>15.616792</v>
          </cell>
        </row>
        <row r="413">
          <cell r="M413">
            <v>374.728198</v>
          </cell>
        </row>
        <row r="413">
          <cell r="P413">
            <v>327.07338</v>
          </cell>
        </row>
        <row r="414">
          <cell r="C414" t="str">
            <v>2120101</v>
          </cell>
        </row>
        <row r="414">
          <cell r="M414">
            <v>18.283236</v>
          </cell>
        </row>
        <row r="414">
          <cell r="P414">
            <v>17.580383</v>
          </cell>
        </row>
        <row r="415">
          <cell r="C415" t="str">
            <v>2120101</v>
          </cell>
        </row>
        <row r="415">
          <cell r="M415">
            <v>8.86</v>
          </cell>
        </row>
        <row r="415">
          <cell r="P415">
            <v>2.371635</v>
          </cell>
        </row>
        <row r="416">
          <cell r="C416" t="str">
            <v>2120101</v>
          </cell>
        </row>
        <row r="416">
          <cell r="M416">
            <v>12</v>
          </cell>
        </row>
        <row r="416">
          <cell r="P416">
            <v>6.456708</v>
          </cell>
        </row>
        <row r="417">
          <cell r="C417" t="str">
            <v>2120101</v>
          </cell>
        </row>
        <row r="417">
          <cell r="M417">
            <v>52.591041</v>
          </cell>
        </row>
        <row r="417">
          <cell r="P417">
            <v>50.706992</v>
          </cell>
        </row>
        <row r="418">
          <cell r="C418" t="str">
            <v>2120101</v>
          </cell>
        </row>
        <row r="418">
          <cell r="M418">
            <v>6.856214</v>
          </cell>
        </row>
        <row r="418">
          <cell r="P418">
            <v>4.102706</v>
          </cell>
        </row>
        <row r="419">
          <cell r="C419" t="str">
            <v>2120101</v>
          </cell>
        </row>
        <row r="419">
          <cell r="M419">
            <v>191.5003</v>
          </cell>
        </row>
        <row r="419">
          <cell r="P419">
            <v>183.238588</v>
          </cell>
        </row>
        <row r="420">
          <cell r="C420" t="str">
            <v>2120101</v>
          </cell>
        </row>
        <row r="420">
          <cell r="M420">
            <v>1.3</v>
          </cell>
        </row>
        <row r="420">
          <cell r="P420">
            <v>1.3</v>
          </cell>
        </row>
        <row r="421">
          <cell r="C421" t="str">
            <v>2120101</v>
          </cell>
        </row>
        <row r="421">
          <cell r="M421">
            <v>9.096611</v>
          </cell>
        </row>
        <row r="421">
          <cell r="P421">
            <v>0.754</v>
          </cell>
        </row>
        <row r="422">
          <cell r="C422" t="str">
            <v>2120101</v>
          </cell>
        </row>
        <row r="422">
          <cell r="M422">
            <v>74.240796</v>
          </cell>
        </row>
        <row r="422">
          <cell r="P422">
            <v>60.562368</v>
          </cell>
        </row>
        <row r="423">
          <cell r="M423">
            <v>227.001889</v>
          </cell>
        </row>
        <row r="423">
          <cell r="P423">
            <v>168.120454</v>
          </cell>
        </row>
        <row r="424">
          <cell r="C424" t="str">
            <v>2120101</v>
          </cell>
        </row>
        <row r="424">
          <cell r="M424">
            <v>8</v>
          </cell>
        </row>
        <row r="424">
          <cell r="P424">
            <v>6.011643</v>
          </cell>
        </row>
        <row r="425">
          <cell r="C425" t="str">
            <v>2120101</v>
          </cell>
        </row>
        <row r="425">
          <cell r="M425">
            <v>4.695034</v>
          </cell>
        </row>
        <row r="425">
          <cell r="P425">
            <v>2.995682</v>
          </cell>
        </row>
        <row r="426">
          <cell r="C426" t="str">
            <v>2120101</v>
          </cell>
        </row>
        <row r="426">
          <cell r="M426">
            <v>51.84</v>
          </cell>
        </row>
        <row r="426">
          <cell r="P426">
            <v>20.381415</v>
          </cell>
        </row>
        <row r="427">
          <cell r="C427" t="str">
            <v>2120101</v>
          </cell>
        </row>
        <row r="427">
          <cell r="M427">
            <v>12.52009</v>
          </cell>
        </row>
        <row r="427">
          <cell r="P427">
            <v>11.505202</v>
          </cell>
        </row>
        <row r="428">
          <cell r="C428" t="str">
            <v>2120101</v>
          </cell>
        </row>
        <row r="428">
          <cell r="M428">
            <v>1.655972</v>
          </cell>
        </row>
        <row r="428">
          <cell r="P428">
            <v>1.445904</v>
          </cell>
        </row>
        <row r="429">
          <cell r="C429" t="str">
            <v>2120101</v>
          </cell>
        </row>
        <row r="429">
          <cell r="M429">
            <v>100.49408</v>
          </cell>
        </row>
        <row r="429">
          <cell r="P429">
            <v>89.023193</v>
          </cell>
        </row>
        <row r="430">
          <cell r="C430" t="str">
            <v>2120101</v>
          </cell>
        </row>
        <row r="430">
          <cell r="M430">
            <v>13.2828</v>
          </cell>
        </row>
        <row r="430">
          <cell r="P430">
            <v>8.789559</v>
          </cell>
        </row>
        <row r="431">
          <cell r="C431" t="str">
            <v>2120101</v>
          </cell>
        </row>
        <row r="431">
          <cell r="M431">
            <v>0.3</v>
          </cell>
        </row>
        <row r="431">
          <cell r="P431">
            <v>0.3</v>
          </cell>
        </row>
        <row r="432">
          <cell r="C432" t="str">
            <v>2120101</v>
          </cell>
        </row>
        <row r="432">
          <cell r="M432">
            <v>34.213913</v>
          </cell>
        </row>
        <row r="432">
          <cell r="P432">
            <v>27.667856</v>
          </cell>
        </row>
        <row r="433">
          <cell r="M433">
            <v>265.846375</v>
          </cell>
        </row>
        <row r="433">
          <cell r="P433">
            <v>187.625615</v>
          </cell>
        </row>
        <row r="434">
          <cell r="C434" t="str">
            <v>2240101</v>
          </cell>
        </row>
        <row r="434">
          <cell r="M434">
            <v>15.413712</v>
          </cell>
        </row>
        <row r="434">
          <cell r="P434">
            <v>15.413712</v>
          </cell>
        </row>
        <row r="435">
          <cell r="C435" t="str">
            <v>2240101</v>
          </cell>
        </row>
        <row r="435">
          <cell r="M435">
            <v>43.754921</v>
          </cell>
        </row>
        <row r="435">
          <cell r="P435">
            <v>40.271814</v>
          </cell>
        </row>
        <row r="436">
          <cell r="C436" t="str">
            <v>2240101</v>
          </cell>
        </row>
        <row r="436">
          <cell r="M436">
            <v>12.62</v>
          </cell>
        </row>
        <row r="436">
          <cell r="P436">
            <v>1.974028</v>
          </cell>
        </row>
        <row r="437">
          <cell r="C437" t="str">
            <v>2240101</v>
          </cell>
        </row>
        <row r="437">
          <cell r="M437">
            <v>179.2776</v>
          </cell>
        </row>
        <row r="437">
          <cell r="P437">
            <v>115.555374</v>
          </cell>
        </row>
        <row r="438">
          <cell r="C438" t="str">
            <v>2240101</v>
          </cell>
        </row>
        <row r="438">
          <cell r="M438">
            <v>5.780142</v>
          </cell>
        </row>
        <row r="438">
          <cell r="P438">
            <v>5.778042</v>
          </cell>
        </row>
        <row r="439">
          <cell r="C439" t="str">
            <v>2240101</v>
          </cell>
        </row>
        <row r="439">
          <cell r="M439">
            <v>9</v>
          </cell>
        </row>
        <row r="439">
          <cell r="P439">
            <v>8.632645</v>
          </cell>
        </row>
        <row r="440">
          <cell r="M440">
            <v>465.228037</v>
          </cell>
        </row>
        <row r="440">
          <cell r="P440">
            <v>362.628893</v>
          </cell>
        </row>
        <row r="441">
          <cell r="C441" t="str">
            <v>2110101</v>
          </cell>
        </row>
        <row r="441">
          <cell r="M441">
            <v>0.2</v>
          </cell>
        </row>
        <row r="441">
          <cell r="P441">
            <v>0</v>
          </cell>
        </row>
        <row r="442">
          <cell r="C442" t="str">
            <v>2110101</v>
          </cell>
        </row>
        <row r="442">
          <cell r="M442">
            <v>78.815379</v>
          </cell>
        </row>
        <row r="442">
          <cell r="P442">
            <v>78.372018</v>
          </cell>
        </row>
        <row r="443">
          <cell r="C443" t="str">
            <v>2110101</v>
          </cell>
        </row>
        <row r="443">
          <cell r="M443">
            <v>10.212165</v>
          </cell>
        </row>
        <row r="443">
          <cell r="P443">
            <v>10.152891</v>
          </cell>
        </row>
        <row r="444">
          <cell r="C444" t="str">
            <v>2110101</v>
          </cell>
        </row>
        <row r="444">
          <cell r="M444">
            <v>6.8388</v>
          </cell>
        </row>
        <row r="444">
          <cell r="P444">
            <v>5.426348</v>
          </cell>
        </row>
        <row r="445">
          <cell r="C445" t="str">
            <v>2110101</v>
          </cell>
        </row>
        <row r="445">
          <cell r="M445">
            <v>27.232441</v>
          </cell>
        </row>
        <row r="445">
          <cell r="P445">
            <v>27.095881</v>
          </cell>
        </row>
        <row r="446">
          <cell r="C446" t="str">
            <v>2110101</v>
          </cell>
        </row>
        <row r="446">
          <cell r="M446">
            <v>20</v>
          </cell>
        </row>
        <row r="446">
          <cell r="P446">
            <v>11.92366</v>
          </cell>
        </row>
        <row r="447">
          <cell r="C447" t="str">
            <v>2110101</v>
          </cell>
        </row>
        <row r="447">
          <cell r="M447">
            <v>301.297012</v>
          </cell>
        </row>
        <row r="447">
          <cell r="P447">
            <v>220.84143</v>
          </cell>
        </row>
        <row r="448">
          <cell r="C448" t="str">
            <v>2110101</v>
          </cell>
        </row>
        <row r="448">
          <cell r="M448">
            <v>19.64</v>
          </cell>
        </row>
        <row r="448">
          <cell r="P448">
            <v>7.842321</v>
          </cell>
        </row>
        <row r="449">
          <cell r="C449" t="str">
            <v>2110101</v>
          </cell>
        </row>
        <row r="449">
          <cell r="M449">
            <v>0.99224</v>
          </cell>
        </row>
        <row r="449">
          <cell r="P449">
            <v>0.974344</v>
          </cell>
        </row>
        <row r="450">
          <cell r="M450">
            <v>896.147716</v>
          </cell>
        </row>
        <row r="450">
          <cell r="P450">
            <v>681.105798</v>
          </cell>
        </row>
        <row r="451">
          <cell r="C451" t="str">
            <v>2200101</v>
          </cell>
        </row>
        <row r="451">
          <cell r="M451">
            <v>22.745435</v>
          </cell>
        </row>
        <row r="451">
          <cell r="P451">
            <v>21.802546</v>
          </cell>
        </row>
        <row r="452">
          <cell r="C452" t="str">
            <v>2200101</v>
          </cell>
        </row>
        <row r="452">
          <cell r="M452">
            <v>80.664</v>
          </cell>
        </row>
        <row r="452">
          <cell r="P452">
            <v>60.762548</v>
          </cell>
        </row>
        <row r="453">
          <cell r="C453" t="str">
            <v>2200101</v>
          </cell>
        </row>
        <row r="453">
          <cell r="M453">
            <v>2</v>
          </cell>
        </row>
        <row r="453">
          <cell r="P453">
            <v>1</v>
          </cell>
        </row>
        <row r="454">
          <cell r="C454" t="str">
            <v>2200101</v>
          </cell>
        </row>
        <row r="454">
          <cell r="M454">
            <v>38</v>
          </cell>
        </row>
        <row r="454">
          <cell r="P454">
            <v>29.218178</v>
          </cell>
        </row>
        <row r="455">
          <cell r="C455" t="str">
            <v>2200101</v>
          </cell>
        </row>
        <row r="455">
          <cell r="M455">
            <v>174.663204</v>
          </cell>
        </row>
        <row r="455">
          <cell r="P455">
            <v>124.929359</v>
          </cell>
        </row>
        <row r="456">
          <cell r="C456" t="str">
            <v>2200101</v>
          </cell>
        </row>
        <row r="456">
          <cell r="M456">
            <v>495.6261</v>
          </cell>
        </row>
        <row r="456">
          <cell r="P456">
            <v>383.344072</v>
          </cell>
        </row>
        <row r="457">
          <cell r="C457" t="str">
            <v>2200101</v>
          </cell>
        </row>
        <row r="457">
          <cell r="M457">
            <v>11.966485</v>
          </cell>
        </row>
        <row r="457">
          <cell r="P457">
            <v>8.287261</v>
          </cell>
        </row>
        <row r="458">
          <cell r="C458" t="str">
            <v>2200101</v>
          </cell>
        </row>
        <row r="458">
          <cell r="M458">
            <v>9.828</v>
          </cell>
        </row>
        <row r="458">
          <cell r="P458">
            <v>6.065095</v>
          </cell>
        </row>
        <row r="459">
          <cell r="C459" t="str">
            <v>2200101</v>
          </cell>
        </row>
        <row r="459">
          <cell r="M459">
            <v>60.654492</v>
          </cell>
        </row>
        <row r="459">
          <cell r="P459">
            <v>45.696739</v>
          </cell>
        </row>
        <row r="460">
          <cell r="M460">
            <v>270.30688</v>
          </cell>
        </row>
        <row r="460">
          <cell r="P460">
            <v>220.344178</v>
          </cell>
        </row>
        <row r="461">
          <cell r="C461" t="str">
            <v>2200101</v>
          </cell>
        </row>
        <row r="461">
          <cell r="M461">
            <v>232.552924</v>
          </cell>
        </row>
        <row r="461">
          <cell r="P461">
            <v>194.299324</v>
          </cell>
        </row>
        <row r="462">
          <cell r="C462" t="str">
            <v>2200101</v>
          </cell>
        </row>
        <row r="462">
          <cell r="M462">
            <v>1.2</v>
          </cell>
        </row>
        <row r="462">
          <cell r="P462">
            <v>0.676</v>
          </cell>
        </row>
        <row r="463">
          <cell r="C463" t="str">
            <v>2200101</v>
          </cell>
        </row>
        <row r="463">
          <cell r="M463">
            <v>1.923251</v>
          </cell>
        </row>
        <row r="463">
          <cell r="P463">
            <v>1.923251</v>
          </cell>
        </row>
        <row r="464">
          <cell r="C464" t="str">
            <v>2200101</v>
          </cell>
        </row>
        <row r="464">
          <cell r="M464">
            <v>5.128668</v>
          </cell>
        </row>
        <row r="464">
          <cell r="P464">
            <v>5.128668</v>
          </cell>
        </row>
        <row r="465">
          <cell r="C465" t="str">
            <v>2200101</v>
          </cell>
        </row>
        <row r="465">
          <cell r="M465">
            <v>13</v>
          </cell>
        </row>
        <row r="465">
          <cell r="P465">
            <v>6.343027</v>
          </cell>
        </row>
        <row r="466">
          <cell r="C466" t="str">
            <v>2200101</v>
          </cell>
        </row>
        <row r="466">
          <cell r="M466">
            <v>15.182037</v>
          </cell>
        </row>
        <row r="466">
          <cell r="P466">
            <v>11.403288</v>
          </cell>
        </row>
        <row r="467">
          <cell r="C467" t="str">
            <v>2200101</v>
          </cell>
        </row>
        <row r="467">
          <cell r="M467">
            <v>1.32</v>
          </cell>
        </row>
        <row r="467">
          <cell r="P467">
            <v>0.57062</v>
          </cell>
        </row>
        <row r="468">
          <cell r="M468">
            <v>1207.181668</v>
          </cell>
        </row>
        <row r="468">
          <cell r="P468">
            <v>948.387783</v>
          </cell>
        </row>
        <row r="469">
          <cell r="C469" t="str">
            <v>2010301</v>
          </cell>
        </row>
        <row r="469">
          <cell r="M469">
            <v>128.020384</v>
          </cell>
        </row>
        <row r="469">
          <cell r="P469">
            <v>110.767078</v>
          </cell>
        </row>
        <row r="470">
          <cell r="C470" t="str">
            <v>2130104</v>
          </cell>
        </row>
        <row r="470">
          <cell r="M470">
            <v>8.429371</v>
          </cell>
        </row>
        <row r="470">
          <cell r="P470">
            <v>5.897455</v>
          </cell>
        </row>
        <row r="471">
          <cell r="C471" t="str">
            <v>2010301</v>
          </cell>
        </row>
        <row r="471">
          <cell r="M471">
            <v>121.660716</v>
          </cell>
        </row>
        <row r="471">
          <cell r="P471">
            <v>104.651307</v>
          </cell>
        </row>
        <row r="472">
          <cell r="C472" t="str">
            <v>2130204</v>
          </cell>
        </row>
        <row r="472">
          <cell r="M472">
            <v>0.522067</v>
          </cell>
        </row>
        <row r="472">
          <cell r="P472">
            <v>0.397474</v>
          </cell>
        </row>
        <row r="473">
          <cell r="C473" t="str">
            <v>2130104</v>
          </cell>
        </row>
        <row r="473">
          <cell r="M473">
            <v>1.049301</v>
          </cell>
        </row>
        <row r="473">
          <cell r="P473">
            <v>0.526356</v>
          </cell>
        </row>
        <row r="474">
          <cell r="C474" t="str">
            <v>2010301</v>
          </cell>
        </row>
        <row r="474">
          <cell r="M474">
            <v>35.091283</v>
          </cell>
        </row>
        <row r="474">
          <cell r="P474">
            <v>30.045985</v>
          </cell>
        </row>
        <row r="475">
          <cell r="C475" t="str">
            <v>2130204</v>
          </cell>
        </row>
        <row r="475">
          <cell r="M475">
            <v>53.2902</v>
          </cell>
        </row>
        <row r="475">
          <cell r="P475">
            <v>42.706976</v>
          </cell>
        </row>
        <row r="476">
          <cell r="C476" t="str">
            <v>2130204</v>
          </cell>
        </row>
        <row r="476">
          <cell r="M476">
            <v>0.1</v>
          </cell>
        </row>
        <row r="476">
          <cell r="P476">
            <v>0</v>
          </cell>
        </row>
        <row r="477">
          <cell r="C477" t="str">
            <v>2010301</v>
          </cell>
        </row>
        <row r="477">
          <cell r="M477">
            <v>23.9</v>
          </cell>
        </row>
        <row r="477">
          <cell r="P477">
            <v>19.716553</v>
          </cell>
        </row>
        <row r="478">
          <cell r="C478" t="str">
            <v>2130104</v>
          </cell>
        </row>
        <row r="478">
          <cell r="M478">
            <v>1.8252</v>
          </cell>
        </row>
        <row r="478">
          <cell r="P478">
            <v>1.246324</v>
          </cell>
        </row>
        <row r="479">
          <cell r="C479" t="str">
            <v>2040601</v>
          </cell>
        </row>
        <row r="479">
          <cell r="M479">
            <v>1.828075</v>
          </cell>
        </row>
        <row r="479">
          <cell r="P479">
            <v>0.84</v>
          </cell>
        </row>
        <row r="480">
          <cell r="C480" t="str">
            <v>2010301</v>
          </cell>
        </row>
        <row r="480">
          <cell r="M480">
            <v>47.050848</v>
          </cell>
        </row>
        <row r="480">
          <cell r="P480">
            <v>40.524637</v>
          </cell>
        </row>
        <row r="481">
          <cell r="C481" t="str">
            <v>2130204</v>
          </cell>
        </row>
        <row r="481">
          <cell r="M481">
            <v>4</v>
          </cell>
        </row>
        <row r="481">
          <cell r="P481">
            <v>0.7075</v>
          </cell>
        </row>
        <row r="482">
          <cell r="C482" t="str">
            <v>2130204</v>
          </cell>
        </row>
        <row r="482">
          <cell r="M482">
            <v>17.175497</v>
          </cell>
        </row>
        <row r="482">
          <cell r="P482">
            <v>12.404485</v>
          </cell>
        </row>
        <row r="483">
          <cell r="C483" t="str">
            <v>2040601</v>
          </cell>
        </row>
        <row r="483">
          <cell r="M483">
            <v>4.941757</v>
          </cell>
        </row>
        <row r="483">
          <cell r="P483">
            <v>2.960594</v>
          </cell>
        </row>
        <row r="484">
          <cell r="C484" t="str">
            <v>2010301</v>
          </cell>
        </row>
        <row r="484">
          <cell r="M484">
            <v>3.5</v>
          </cell>
        </row>
        <row r="484">
          <cell r="P484">
            <v>0</v>
          </cell>
        </row>
        <row r="485">
          <cell r="C485" t="str">
            <v>2130204</v>
          </cell>
        </row>
        <row r="485">
          <cell r="M485">
            <v>2.157759</v>
          </cell>
        </row>
        <row r="485">
          <cell r="P485">
            <v>1.479004</v>
          </cell>
        </row>
        <row r="486">
          <cell r="C486" t="str">
            <v>2010301</v>
          </cell>
        </row>
        <row r="486">
          <cell r="M486">
            <v>598.1904</v>
          </cell>
        </row>
        <row r="486">
          <cell r="P486">
            <v>459.197613</v>
          </cell>
        </row>
        <row r="487">
          <cell r="C487" t="str">
            <v>2130204</v>
          </cell>
        </row>
        <row r="487">
          <cell r="M487">
            <v>3.166404</v>
          </cell>
        </row>
        <row r="487">
          <cell r="P487">
            <v>2.253781</v>
          </cell>
        </row>
        <row r="488">
          <cell r="C488" t="str">
            <v>2130104</v>
          </cell>
        </row>
        <row r="488">
          <cell r="M488">
            <v>24.3178</v>
          </cell>
        </row>
        <row r="488">
          <cell r="P488">
            <v>20.353518</v>
          </cell>
        </row>
        <row r="489">
          <cell r="C489" t="str">
            <v>2130104</v>
          </cell>
        </row>
        <row r="489">
          <cell r="M489">
            <v>2.798136</v>
          </cell>
        </row>
        <row r="489">
          <cell r="P489">
            <v>1.988309</v>
          </cell>
        </row>
        <row r="490">
          <cell r="C490" t="str">
            <v>2040601</v>
          </cell>
        </row>
        <row r="490">
          <cell r="M490">
            <v>1.6224</v>
          </cell>
        </row>
        <row r="490">
          <cell r="P490">
            <v>1.10128</v>
          </cell>
        </row>
        <row r="491">
          <cell r="C491" t="str">
            <v>2130302</v>
          </cell>
        </row>
        <row r="491">
          <cell r="M491">
            <v>1</v>
          </cell>
        </row>
        <row r="491">
          <cell r="P491">
            <v>0.416292</v>
          </cell>
        </row>
        <row r="492">
          <cell r="C492" t="str">
            <v>2130302</v>
          </cell>
        </row>
        <row r="492">
          <cell r="M492">
            <v>1.303296</v>
          </cell>
        </row>
        <row r="492">
          <cell r="P492">
            <v>1.303296</v>
          </cell>
        </row>
        <row r="493">
          <cell r="C493" t="str">
            <v>2130302</v>
          </cell>
        </row>
        <row r="493">
          <cell r="M493">
            <v>42.8608</v>
          </cell>
        </row>
        <row r="493">
          <cell r="P493">
            <v>35.198813</v>
          </cell>
        </row>
        <row r="494">
          <cell r="C494" t="str">
            <v>2130302</v>
          </cell>
        </row>
        <row r="494">
          <cell r="M494">
            <v>0.488736</v>
          </cell>
        </row>
        <row r="494">
          <cell r="P494">
            <v>0.247216</v>
          </cell>
        </row>
        <row r="495">
          <cell r="C495" t="str">
            <v>2010301</v>
          </cell>
        </row>
        <row r="495">
          <cell r="M495">
            <v>30</v>
          </cell>
        </row>
        <row r="495">
          <cell r="P495">
            <v>20.560155</v>
          </cell>
        </row>
        <row r="496">
          <cell r="C496" t="str">
            <v>2130204</v>
          </cell>
        </row>
        <row r="496">
          <cell r="M496">
            <v>5.754024</v>
          </cell>
        </row>
        <row r="496">
          <cell r="P496">
            <v>4.911</v>
          </cell>
        </row>
        <row r="497">
          <cell r="C497" t="str">
            <v>2040601</v>
          </cell>
        </row>
        <row r="497">
          <cell r="M497">
            <v>14.69396</v>
          </cell>
        </row>
        <row r="497">
          <cell r="P497">
            <v>9.491894</v>
          </cell>
        </row>
        <row r="498">
          <cell r="C498" t="str">
            <v>2040601</v>
          </cell>
        </row>
        <row r="498">
          <cell r="M498">
            <v>0.685528</v>
          </cell>
        </row>
        <row r="498">
          <cell r="P498">
            <v>0.685528</v>
          </cell>
        </row>
        <row r="499">
          <cell r="C499" t="str">
            <v>2130204</v>
          </cell>
        </row>
        <row r="499">
          <cell r="M499">
            <v>0.66</v>
          </cell>
        </row>
        <row r="499">
          <cell r="P499">
            <v>0</v>
          </cell>
        </row>
        <row r="500">
          <cell r="C500" t="str">
            <v>2040601</v>
          </cell>
        </row>
        <row r="500">
          <cell r="M500">
            <v>0.54</v>
          </cell>
        </row>
        <row r="500">
          <cell r="P500">
            <v>0.293734</v>
          </cell>
        </row>
        <row r="501">
          <cell r="C501" t="str">
            <v>2040601</v>
          </cell>
        </row>
        <row r="501">
          <cell r="M501">
            <v>1</v>
          </cell>
        </row>
        <row r="501">
          <cell r="P501">
            <v>0.652095</v>
          </cell>
        </row>
        <row r="502">
          <cell r="C502" t="str">
            <v>2130302</v>
          </cell>
        </row>
        <row r="502">
          <cell r="M502">
            <v>3.913658</v>
          </cell>
        </row>
        <row r="502">
          <cell r="P502">
            <v>3.913658</v>
          </cell>
        </row>
        <row r="503">
          <cell r="C503" t="str">
            <v>2130104</v>
          </cell>
        </row>
        <row r="503">
          <cell r="M503">
            <v>2</v>
          </cell>
        </row>
        <row r="503">
          <cell r="P503">
            <v>0.308596</v>
          </cell>
        </row>
        <row r="504">
          <cell r="C504" t="str">
            <v>2010301</v>
          </cell>
        </row>
        <row r="504">
          <cell r="M504">
            <v>17.644068</v>
          </cell>
        </row>
        <row r="504">
          <cell r="P504">
            <v>10.639277</v>
          </cell>
        </row>
        <row r="505">
          <cell r="M505">
            <v>126.766588</v>
          </cell>
        </row>
        <row r="505">
          <cell r="P505">
            <v>94.779466</v>
          </cell>
        </row>
        <row r="506">
          <cell r="C506" t="str">
            <v>2010650</v>
          </cell>
        </row>
        <row r="506">
          <cell r="M506">
            <v>8.891748</v>
          </cell>
        </row>
        <row r="506">
          <cell r="P506">
            <v>5.472448</v>
          </cell>
        </row>
        <row r="507">
          <cell r="C507" t="str">
            <v>2010650</v>
          </cell>
        </row>
        <row r="507">
          <cell r="M507">
            <v>1.98</v>
          </cell>
        </row>
        <row r="507">
          <cell r="P507">
            <v>0.500355</v>
          </cell>
        </row>
        <row r="508">
          <cell r="C508" t="str">
            <v>2010650</v>
          </cell>
        </row>
        <row r="508">
          <cell r="M508">
            <v>26.456028</v>
          </cell>
        </row>
        <row r="508">
          <cell r="P508">
            <v>19.2757</v>
          </cell>
        </row>
        <row r="509">
          <cell r="C509" t="str">
            <v>2010650</v>
          </cell>
        </row>
        <row r="509">
          <cell r="M509">
            <v>5</v>
          </cell>
        </row>
        <row r="509">
          <cell r="P509">
            <v>1.807089</v>
          </cell>
        </row>
        <row r="510">
          <cell r="C510" t="str">
            <v>2010650</v>
          </cell>
        </row>
        <row r="510">
          <cell r="M510">
            <v>1.237218</v>
          </cell>
        </row>
        <row r="510">
          <cell r="P510">
            <v>0.954018</v>
          </cell>
        </row>
        <row r="511">
          <cell r="C511" t="str">
            <v>2010650</v>
          </cell>
        </row>
        <row r="511">
          <cell r="M511">
            <v>7.449288</v>
          </cell>
        </row>
        <row r="511">
          <cell r="P511">
            <v>5.744123</v>
          </cell>
        </row>
        <row r="512">
          <cell r="C512" t="str">
            <v>2010650</v>
          </cell>
        </row>
        <row r="512">
          <cell r="M512">
            <v>72.1179</v>
          </cell>
        </row>
        <row r="512">
          <cell r="P512">
            <v>58.800663</v>
          </cell>
        </row>
        <row r="513">
          <cell r="C513" t="str">
            <v>2010650</v>
          </cell>
        </row>
        <row r="513">
          <cell r="M513">
            <v>3.334406</v>
          </cell>
        </row>
        <row r="513">
          <cell r="P513">
            <v>2.22507</v>
          </cell>
        </row>
        <row r="514">
          <cell r="C514" t="str">
            <v>2010650</v>
          </cell>
        </row>
        <row r="514">
          <cell r="M514">
            <v>0.3</v>
          </cell>
        </row>
        <row r="514">
          <cell r="P514">
            <v>0</v>
          </cell>
        </row>
        <row r="515">
          <cell r="M515">
            <v>671.567529</v>
          </cell>
        </row>
        <row r="515">
          <cell r="P515">
            <v>573.529089</v>
          </cell>
        </row>
        <row r="516">
          <cell r="C516" t="str">
            <v>2010301</v>
          </cell>
        </row>
        <row r="516">
          <cell r="M516">
            <v>36.82787</v>
          </cell>
        </row>
        <row r="516">
          <cell r="P516">
            <v>35.742838</v>
          </cell>
        </row>
        <row r="517">
          <cell r="C517" t="str">
            <v>2010301</v>
          </cell>
        </row>
        <row r="517">
          <cell r="M517">
            <v>104.2232</v>
          </cell>
        </row>
        <row r="517">
          <cell r="P517">
            <v>100.749682</v>
          </cell>
        </row>
        <row r="518">
          <cell r="C518" t="str">
            <v>2010301</v>
          </cell>
        </row>
        <row r="518">
          <cell r="M518">
            <v>1.238644</v>
          </cell>
        </row>
        <row r="518">
          <cell r="P518">
            <v>1.186919</v>
          </cell>
        </row>
        <row r="519">
          <cell r="C519" t="str">
            <v>2010301</v>
          </cell>
        </row>
        <row r="519">
          <cell r="M519">
            <v>0.3</v>
          </cell>
        </row>
        <row r="519">
          <cell r="P519">
            <v>0.3</v>
          </cell>
        </row>
        <row r="520">
          <cell r="C520" t="str">
            <v>2010301</v>
          </cell>
        </row>
        <row r="520">
          <cell r="M520">
            <v>30</v>
          </cell>
        </row>
        <row r="520">
          <cell r="P520">
            <v>30</v>
          </cell>
        </row>
        <row r="521">
          <cell r="C521" t="str">
            <v>2010301</v>
          </cell>
        </row>
        <row r="521">
          <cell r="M521">
            <v>5.268444</v>
          </cell>
        </row>
        <row r="521">
          <cell r="P521">
            <v>5.048432</v>
          </cell>
        </row>
        <row r="522">
          <cell r="C522" t="str">
            <v>2010301</v>
          </cell>
        </row>
        <row r="522">
          <cell r="M522">
            <v>13.810451</v>
          </cell>
        </row>
        <row r="522">
          <cell r="P522">
            <v>13.810451</v>
          </cell>
        </row>
        <row r="523">
          <cell r="C523" t="str">
            <v>2010301</v>
          </cell>
        </row>
        <row r="523">
          <cell r="M523">
            <v>11.3</v>
          </cell>
        </row>
        <row r="523">
          <cell r="P523">
            <v>10.507383</v>
          </cell>
        </row>
        <row r="524">
          <cell r="C524" t="str">
            <v>2010301</v>
          </cell>
        </row>
        <row r="524">
          <cell r="M524">
            <v>468.59892</v>
          </cell>
        </row>
        <row r="524">
          <cell r="P524">
            <v>376.183384</v>
          </cell>
        </row>
        <row r="525">
          <cell r="M525">
            <v>1263.708439</v>
          </cell>
        </row>
        <row r="525">
          <cell r="P525">
            <v>954.295437</v>
          </cell>
        </row>
        <row r="526">
          <cell r="C526" t="str">
            <v>2040601</v>
          </cell>
        </row>
        <row r="526">
          <cell r="M526">
            <v>0.1</v>
          </cell>
        </row>
        <row r="526">
          <cell r="P526">
            <v>0.003886</v>
          </cell>
        </row>
        <row r="527">
          <cell r="C527" t="str">
            <v>2100499</v>
          </cell>
        </row>
        <row r="527">
          <cell r="M527">
            <v>2.924609</v>
          </cell>
        </row>
        <row r="527">
          <cell r="P527">
            <v>2.199826</v>
          </cell>
        </row>
        <row r="528">
          <cell r="C528" t="str">
            <v>2130302</v>
          </cell>
        </row>
        <row r="528">
          <cell r="M528">
            <v>2.795664</v>
          </cell>
        </row>
        <row r="528">
          <cell r="P528">
            <v>2.26742</v>
          </cell>
        </row>
        <row r="529">
          <cell r="C529" t="str">
            <v>2130302</v>
          </cell>
        </row>
        <row r="529">
          <cell r="M529">
            <v>25.2972</v>
          </cell>
        </row>
        <row r="529">
          <cell r="P529">
            <v>19.500909</v>
          </cell>
        </row>
        <row r="530">
          <cell r="C530" t="str">
            <v>2080150</v>
          </cell>
        </row>
        <row r="530">
          <cell r="M530">
            <v>3</v>
          </cell>
        </row>
        <row r="530">
          <cell r="P530">
            <v>0.65062</v>
          </cell>
        </row>
        <row r="531">
          <cell r="C531" t="str">
            <v>2010301</v>
          </cell>
        </row>
        <row r="531">
          <cell r="M531">
            <v>18.762162</v>
          </cell>
        </row>
        <row r="531">
          <cell r="P531">
            <v>13.206047</v>
          </cell>
        </row>
        <row r="532">
          <cell r="C532" t="str">
            <v>2080150</v>
          </cell>
        </row>
        <row r="532">
          <cell r="M532">
            <v>1.125684</v>
          </cell>
        </row>
        <row r="532">
          <cell r="P532">
            <v>1.125684</v>
          </cell>
        </row>
        <row r="533">
          <cell r="C533" t="str">
            <v>2080150</v>
          </cell>
        </row>
        <row r="533">
          <cell r="M533">
            <v>3.001824</v>
          </cell>
        </row>
        <row r="533">
          <cell r="P533">
            <v>3.001824</v>
          </cell>
        </row>
        <row r="534">
          <cell r="C534" t="str">
            <v>2080150</v>
          </cell>
        </row>
        <row r="534">
          <cell r="M534">
            <v>8.932202</v>
          </cell>
        </row>
        <row r="534">
          <cell r="P534">
            <v>8.742566</v>
          </cell>
        </row>
        <row r="535">
          <cell r="C535" t="str">
            <v>2040601</v>
          </cell>
        </row>
        <row r="535">
          <cell r="M535">
            <v>1.32</v>
          </cell>
        </row>
        <row r="535">
          <cell r="P535">
            <v>0.88</v>
          </cell>
        </row>
        <row r="536">
          <cell r="C536" t="str">
            <v>2010301</v>
          </cell>
        </row>
        <row r="536">
          <cell r="M536">
            <v>135.93921</v>
          </cell>
        </row>
        <row r="536">
          <cell r="P536">
            <v>116.965021</v>
          </cell>
        </row>
        <row r="537">
          <cell r="C537" t="str">
            <v>2040601</v>
          </cell>
        </row>
        <row r="537">
          <cell r="M537">
            <v>3.794054</v>
          </cell>
        </row>
        <row r="537">
          <cell r="P537">
            <v>2.758042</v>
          </cell>
        </row>
        <row r="538">
          <cell r="C538" t="str">
            <v>2130204</v>
          </cell>
        </row>
        <row r="538">
          <cell r="M538">
            <v>2.222991</v>
          </cell>
        </row>
        <row r="538">
          <cell r="P538">
            <v>2.222991</v>
          </cell>
        </row>
        <row r="539">
          <cell r="C539" t="str">
            <v>2080150</v>
          </cell>
        </row>
        <row r="539">
          <cell r="M539">
            <v>37.0152</v>
          </cell>
        </row>
        <row r="539">
          <cell r="P539">
            <v>25.779382</v>
          </cell>
        </row>
        <row r="540">
          <cell r="C540" t="str">
            <v>2130104</v>
          </cell>
        </row>
        <row r="540">
          <cell r="M540">
            <v>0.87449</v>
          </cell>
        </row>
        <row r="540">
          <cell r="P540">
            <v>0.488662</v>
          </cell>
        </row>
        <row r="541">
          <cell r="C541" t="str">
            <v>2040601</v>
          </cell>
        </row>
        <row r="541">
          <cell r="M541">
            <v>2.8416</v>
          </cell>
        </row>
        <row r="541">
          <cell r="P541">
            <v>1.688</v>
          </cell>
        </row>
        <row r="542">
          <cell r="C542" t="str">
            <v>2130204</v>
          </cell>
        </row>
        <row r="542">
          <cell r="M542">
            <v>0.3</v>
          </cell>
        </row>
        <row r="542">
          <cell r="P542">
            <v>0.3</v>
          </cell>
        </row>
        <row r="543">
          <cell r="C543" t="str">
            <v>2130204</v>
          </cell>
        </row>
        <row r="543">
          <cell r="M543">
            <v>5</v>
          </cell>
        </row>
        <row r="543">
          <cell r="P543">
            <v>2.997833</v>
          </cell>
        </row>
        <row r="544">
          <cell r="C544" t="str">
            <v>2100499</v>
          </cell>
        </row>
        <row r="544">
          <cell r="M544">
            <v>0.3</v>
          </cell>
        </row>
        <row r="544">
          <cell r="P544">
            <v>0.040041</v>
          </cell>
        </row>
        <row r="545">
          <cell r="C545" t="str">
            <v>2130302</v>
          </cell>
        </row>
        <row r="545">
          <cell r="M545">
            <v>1.048374</v>
          </cell>
        </row>
        <row r="545">
          <cell r="P545">
            <v>0.465944</v>
          </cell>
        </row>
        <row r="546">
          <cell r="C546" t="str">
            <v>2130302</v>
          </cell>
        </row>
        <row r="546">
          <cell r="M546">
            <v>8.397988</v>
          </cell>
        </row>
        <row r="546">
          <cell r="P546">
            <v>6.794606</v>
          </cell>
        </row>
        <row r="547">
          <cell r="C547" t="str">
            <v>2130302</v>
          </cell>
        </row>
        <row r="547">
          <cell r="M547">
            <v>2</v>
          </cell>
        </row>
        <row r="547">
          <cell r="P547">
            <v>0.515413</v>
          </cell>
        </row>
        <row r="548">
          <cell r="C548" t="str">
            <v>2100499</v>
          </cell>
        </row>
        <row r="548">
          <cell r="M548">
            <v>89.9913</v>
          </cell>
        </row>
        <row r="548">
          <cell r="P548">
            <v>62.418146</v>
          </cell>
        </row>
        <row r="549">
          <cell r="C549" t="str">
            <v>2130204</v>
          </cell>
        </row>
        <row r="549">
          <cell r="M549">
            <v>5.927976</v>
          </cell>
        </row>
        <row r="549">
          <cell r="P549">
            <v>4.924378</v>
          </cell>
        </row>
        <row r="550">
          <cell r="C550" t="str">
            <v>2100499</v>
          </cell>
        </row>
        <row r="550">
          <cell r="M550">
            <v>5</v>
          </cell>
        </row>
        <row r="550">
          <cell r="P550">
            <v>1.475603</v>
          </cell>
        </row>
        <row r="551">
          <cell r="C551" t="str">
            <v>2040601</v>
          </cell>
        </row>
        <row r="551">
          <cell r="M551">
            <v>0.434434</v>
          </cell>
        </row>
        <row r="551">
          <cell r="P551">
            <v>0.045719</v>
          </cell>
        </row>
        <row r="552">
          <cell r="C552" t="str">
            <v>2010301</v>
          </cell>
        </row>
        <row r="552">
          <cell r="M552">
            <v>2.5</v>
          </cell>
        </row>
        <row r="552">
          <cell r="P552">
            <v>0.13128</v>
          </cell>
        </row>
        <row r="553">
          <cell r="C553" t="str">
            <v>2100499</v>
          </cell>
        </row>
        <row r="553">
          <cell r="M553">
            <v>0.827971</v>
          </cell>
        </row>
        <row r="553">
          <cell r="P553">
            <v>0.674901</v>
          </cell>
        </row>
        <row r="554">
          <cell r="C554" t="str">
            <v>2130204</v>
          </cell>
        </row>
        <row r="554">
          <cell r="M554">
            <v>2.704403</v>
          </cell>
        </row>
        <row r="554">
          <cell r="P554">
            <v>2.125476</v>
          </cell>
        </row>
        <row r="555">
          <cell r="C555" t="str">
            <v>2100499</v>
          </cell>
        </row>
        <row r="555">
          <cell r="M555">
            <v>7.798956</v>
          </cell>
        </row>
        <row r="555">
          <cell r="P555">
            <v>7.06105</v>
          </cell>
        </row>
        <row r="556">
          <cell r="C556" t="str">
            <v>2010301</v>
          </cell>
        </row>
        <row r="556">
          <cell r="M556">
            <v>85.512</v>
          </cell>
        </row>
        <row r="556">
          <cell r="P556">
            <v>70.067133</v>
          </cell>
        </row>
        <row r="557">
          <cell r="C557" t="str">
            <v>2010301</v>
          </cell>
        </row>
        <row r="557">
          <cell r="M557">
            <v>27.92</v>
          </cell>
        </row>
        <row r="557">
          <cell r="P557">
            <v>16.737954</v>
          </cell>
        </row>
        <row r="558">
          <cell r="C558" t="str">
            <v>2130104</v>
          </cell>
        </row>
        <row r="558">
          <cell r="M558">
            <v>2</v>
          </cell>
        </row>
        <row r="558">
          <cell r="P558">
            <v>1.353309</v>
          </cell>
        </row>
        <row r="559">
          <cell r="C559" t="str">
            <v>2130104</v>
          </cell>
        </row>
        <row r="559">
          <cell r="M559">
            <v>6.975207</v>
          </cell>
        </row>
        <row r="559">
          <cell r="P559">
            <v>5.887959</v>
          </cell>
        </row>
        <row r="560">
          <cell r="C560" t="str">
            <v>2130204</v>
          </cell>
        </row>
        <row r="560">
          <cell r="M560">
            <v>75.2398</v>
          </cell>
        </row>
        <row r="560">
          <cell r="P560">
            <v>46.683511</v>
          </cell>
        </row>
        <row r="561">
          <cell r="C561" t="str">
            <v>2040601</v>
          </cell>
        </row>
        <row r="561">
          <cell r="M561">
            <v>10.173625</v>
          </cell>
        </row>
        <row r="561">
          <cell r="P561">
            <v>7.395594</v>
          </cell>
        </row>
        <row r="562">
          <cell r="C562" t="str">
            <v>2010301</v>
          </cell>
        </row>
        <row r="562">
          <cell r="M562">
            <v>460.2337</v>
          </cell>
        </row>
        <row r="562">
          <cell r="P562">
            <v>365.016598</v>
          </cell>
        </row>
        <row r="563">
          <cell r="C563" t="str">
            <v>2100499</v>
          </cell>
        </row>
        <row r="563">
          <cell r="M563">
            <v>23.52396</v>
          </cell>
        </row>
        <row r="563">
          <cell r="P563">
            <v>20.399364</v>
          </cell>
        </row>
        <row r="564">
          <cell r="C564" t="str">
            <v>2130104</v>
          </cell>
        </row>
        <row r="564">
          <cell r="M564">
            <v>2.331972</v>
          </cell>
        </row>
        <row r="564">
          <cell r="P564">
            <v>2.142212</v>
          </cell>
        </row>
        <row r="565">
          <cell r="C565" t="str">
            <v>2010301</v>
          </cell>
        </row>
        <row r="565">
          <cell r="M565">
            <v>32</v>
          </cell>
        </row>
        <row r="565">
          <cell r="P565">
            <v>13.611599</v>
          </cell>
        </row>
        <row r="566">
          <cell r="C566" t="str">
            <v>2040601</v>
          </cell>
        </row>
        <row r="566">
          <cell r="M566">
            <v>30.29712</v>
          </cell>
        </row>
        <row r="566">
          <cell r="P566">
            <v>23.944409</v>
          </cell>
        </row>
        <row r="567">
          <cell r="C567" t="str">
            <v>2010301</v>
          </cell>
        </row>
        <row r="567">
          <cell r="M567">
            <v>51.618444</v>
          </cell>
        </row>
        <row r="567">
          <cell r="P567">
            <v>44.256674</v>
          </cell>
        </row>
        <row r="568">
          <cell r="C568" t="str">
            <v>2130104</v>
          </cell>
        </row>
        <row r="568">
          <cell r="M568">
            <v>29.4331</v>
          </cell>
        </row>
        <row r="568">
          <cell r="P568">
            <v>18.466965</v>
          </cell>
        </row>
        <row r="569">
          <cell r="C569" t="str">
            <v>2010301</v>
          </cell>
        </row>
        <row r="569">
          <cell r="M569">
            <v>19.356916</v>
          </cell>
        </row>
        <row r="569">
          <cell r="P569">
            <v>8.603074</v>
          </cell>
        </row>
        <row r="570">
          <cell r="C570" t="str">
            <v>2130204</v>
          </cell>
        </row>
        <row r="570">
          <cell r="M570">
            <v>3.756</v>
          </cell>
        </row>
        <row r="570">
          <cell r="P570">
            <v>2.828955</v>
          </cell>
        </row>
        <row r="571">
          <cell r="C571" t="str">
            <v>2040601</v>
          </cell>
        </row>
        <row r="571">
          <cell r="M571">
            <v>2</v>
          </cell>
        </row>
        <row r="571">
          <cell r="P571">
            <v>0.2</v>
          </cell>
        </row>
        <row r="572">
          <cell r="C572" t="str">
            <v>2040601</v>
          </cell>
        </row>
        <row r="572">
          <cell r="M572">
            <v>1.42277</v>
          </cell>
        </row>
        <row r="572">
          <cell r="P572">
            <v>1.032342</v>
          </cell>
        </row>
        <row r="573">
          <cell r="C573" t="str">
            <v>2130204</v>
          </cell>
        </row>
        <row r="573">
          <cell r="M573">
            <v>17.735533</v>
          </cell>
        </row>
        <row r="573">
          <cell r="P573">
            <v>14.216515</v>
          </cell>
        </row>
        <row r="574">
          <cell r="M574">
            <v>230.905942</v>
          </cell>
        </row>
        <row r="574">
          <cell r="P574">
            <v>185.218311</v>
          </cell>
        </row>
        <row r="575">
          <cell r="C575" t="str">
            <v>2010650</v>
          </cell>
        </row>
        <row r="575">
          <cell r="M575">
            <v>22.9032</v>
          </cell>
        </row>
        <row r="575">
          <cell r="P575">
            <v>22.408838</v>
          </cell>
        </row>
        <row r="576">
          <cell r="C576" t="str">
            <v>2010650</v>
          </cell>
        </row>
        <row r="576">
          <cell r="M576">
            <v>140.1243</v>
          </cell>
        </row>
        <row r="576">
          <cell r="P576">
            <v>101.625707</v>
          </cell>
        </row>
        <row r="577">
          <cell r="C577" t="str">
            <v>2010650</v>
          </cell>
        </row>
        <row r="577">
          <cell r="M577">
            <v>9</v>
          </cell>
        </row>
        <row r="577">
          <cell r="P577">
            <v>4.110175</v>
          </cell>
        </row>
        <row r="578">
          <cell r="C578" t="str">
            <v>2010650</v>
          </cell>
        </row>
        <row r="578">
          <cell r="M578">
            <v>0.6</v>
          </cell>
        </row>
        <row r="578">
          <cell r="P578">
            <v>0.400927</v>
          </cell>
        </row>
        <row r="579">
          <cell r="C579" t="str">
            <v>2010650</v>
          </cell>
        </row>
        <row r="579">
          <cell r="M579">
            <v>4.505594</v>
          </cell>
        </row>
        <row r="579">
          <cell r="P579">
            <v>4.505594</v>
          </cell>
        </row>
        <row r="580">
          <cell r="C580" t="str">
            <v>2010650</v>
          </cell>
        </row>
        <row r="580">
          <cell r="M580">
            <v>36.087405</v>
          </cell>
        </row>
        <row r="580">
          <cell r="P580">
            <v>34.820455</v>
          </cell>
        </row>
        <row r="581">
          <cell r="C581" t="str">
            <v>2010650</v>
          </cell>
        </row>
        <row r="581">
          <cell r="M581">
            <v>12.014916</v>
          </cell>
        </row>
        <row r="581">
          <cell r="P581">
            <v>11.798484</v>
          </cell>
        </row>
        <row r="582">
          <cell r="C582" t="str">
            <v>2010650</v>
          </cell>
        </row>
        <row r="582">
          <cell r="M582">
            <v>5.670527</v>
          </cell>
        </row>
        <row r="582">
          <cell r="P582">
            <v>5.548131</v>
          </cell>
        </row>
        <row r="583">
          <cell r="M583">
            <v>948.63892</v>
          </cell>
        </row>
        <row r="583">
          <cell r="P583">
            <v>732.185546</v>
          </cell>
        </row>
        <row r="584">
          <cell r="C584" t="str">
            <v>2130104</v>
          </cell>
        </row>
        <row r="584">
          <cell r="M584">
            <v>41.1574</v>
          </cell>
        </row>
        <row r="584">
          <cell r="P584">
            <v>31.237917</v>
          </cell>
        </row>
        <row r="585">
          <cell r="C585" t="str">
            <v>2080150</v>
          </cell>
        </row>
        <row r="585">
          <cell r="M585">
            <v>2</v>
          </cell>
        </row>
        <row r="585">
          <cell r="P585">
            <v>0</v>
          </cell>
        </row>
        <row r="586">
          <cell r="C586" t="str">
            <v>2130104</v>
          </cell>
        </row>
        <row r="586">
          <cell r="M586">
            <v>14.908948</v>
          </cell>
        </row>
        <row r="586">
          <cell r="P586">
            <v>9.812546</v>
          </cell>
        </row>
        <row r="587">
          <cell r="C587" t="str">
            <v>2010301</v>
          </cell>
        </row>
        <row r="587">
          <cell r="M587">
            <v>18.291468</v>
          </cell>
        </row>
        <row r="587">
          <cell r="P587">
            <v>14.613542</v>
          </cell>
        </row>
        <row r="588">
          <cell r="C588" t="str">
            <v>2040601</v>
          </cell>
        </row>
        <row r="588">
          <cell r="M588">
            <v>0.66</v>
          </cell>
        </row>
        <row r="588">
          <cell r="P588">
            <v>0.393007</v>
          </cell>
        </row>
        <row r="589">
          <cell r="C589" t="str">
            <v>2130104</v>
          </cell>
        </row>
        <row r="589">
          <cell r="M589">
            <v>3</v>
          </cell>
        </row>
        <row r="589">
          <cell r="P589">
            <v>3</v>
          </cell>
        </row>
        <row r="590">
          <cell r="C590" t="str">
            <v>2010301</v>
          </cell>
        </row>
        <row r="590">
          <cell r="M590">
            <v>43.926</v>
          </cell>
        </row>
        <row r="590">
          <cell r="P590">
            <v>32.608362</v>
          </cell>
        </row>
        <row r="591">
          <cell r="C591" t="str">
            <v>2010301</v>
          </cell>
        </row>
        <row r="591">
          <cell r="M591">
            <v>48.777251</v>
          </cell>
        </row>
        <row r="591">
          <cell r="P591">
            <v>39.635901</v>
          </cell>
        </row>
        <row r="592">
          <cell r="C592" t="str">
            <v>2040601</v>
          </cell>
        </row>
        <row r="592">
          <cell r="M592">
            <v>15.48446</v>
          </cell>
        </row>
        <row r="592">
          <cell r="P592">
            <v>12.125694</v>
          </cell>
        </row>
        <row r="593">
          <cell r="C593" t="str">
            <v>2130302</v>
          </cell>
        </row>
        <row r="593">
          <cell r="M593">
            <v>0.644607</v>
          </cell>
        </row>
        <row r="593">
          <cell r="P593">
            <v>0.436492</v>
          </cell>
        </row>
        <row r="594">
          <cell r="C594" t="str">
            <v>2130204</v>
          </cell>
        </row>
        <row r="594">
          <cell r="M594">
            <v>39.1883</v>
          </cell>
        </row>
        <row r="594">
          <cell r="P594">
            <v>29.582943</v>
          </cell>
        </row>
        <row r="595">
          <cell r="C595" t="str">
            <v>2010301</v>
          </cell>
        </row>
        <row r="595">
          <cell r="M595">
            <v>30</v>
          </cell>
        </row>
        <row r="595">
          <cell r="P595">
            <v>22.385533</v>
          </cell>
        </row>
        <row r="596">
          <cell r="C596" t="str">
            <v>2080150</v>
          </cell>
        </row>
        <row r="596">
          <cell r="M596">
            <v>1.192176</v>
          </cell>
        </row>
        <row r="596">
          <cell r="P596">
            <v>1.192176</v>
          </cell>
        </row>
        <row r="597">
          <cell r="C597" t="str">
            <v>2080150</v>
          </cell>
        </row>
        <row r="597">
          <cell r="M597">
            <v>26.4928</v>
          </cell>
        </row>
        <row r="597">
          <cell r="P597">
            <v>20.441596</v>
          </cell>
        </row>
        <row r="598">
          <cell r="C598" t="str">
            <v>2040601</v>
          </cell>
        </row>
        <row r="598">
          <cell r="M598">
            <v>1.937335</v>
          </cell>
        </row>
        <row r="598">
          <cell r="P598">
            <v>1.349544</v>
          </cell>
        </row>
        <row r="599">
          <cell r="C599" t="str">
            <v>2010301</v>
          </cell>
        </row>
        <row r="599">
          <cell r="M599">
            <v>26.96</v>
          </cell>
        </row>
        <row r="599">
          <cell r="P599">
            <v>18.377406</v>
          </cell>
        </row>
        <row r="600">
          <cell r="C600" t="str">
            <v>2130104</v>
          </cell>
        </row>
        <row r="600">
          <cell r="M600">
            <v>4.938888</v>
          </cell>
        </row>
        <row r="600">
          <cell r="P600">
            <v>3.440417</v>
          </cell>
        </row>
        <row r="601">
          <cell r="C601" t="str">
            <v>2040601</v>
          </cell>
        </row>
        <row r="601">
          <cell r="M601">
            <v>5.210711</v>
          </cell>
        </row>
        <row r="601">
          <cell r="P601">
            <v>3.609811</v>
          </cell>
        </row>
        <row r="602">
          <cell r="C602" t="str">
            <v>2130104</v>
          </cell>
        </row>
        <row r="602">
          <cell r="M602">
            <v>0.8112</v>
          </cell>
        </row>
        <row r="602">
          <cell r="P602">
            <v>0.550642</v>
          </cell>
        </row>
        <row r="603">
          <cell r="C603" t="str">
            <v>2010301</v>
          </cell>
        </row>
        <row r="603">
          <cell r="M603">
            <v>128.984657</v>
          </cell>
        </row>
        <row r="603">
          <cell r="P603">
            <v>104.811628</v>
          </cell>
        </row>
        <row r="604">
          <cell r="C604" t="str">
            <v>2010301</v>
          </cell>
        </row>
        <row r="604">
          <cell r="M604">
            <v>417.517092</v>
          </cell>
        </row>
        <row r="604">
          <cell r="P604">
            <v>329.082082</v>
          </cell>
        </row>
        <row r="605">
          <cell r="C605" t="str">
            <v>2130104</v>
          </cell>
        </row>
        <row r="605">
          <cell r="M605">
            <v>1.852083</v>
          </cell>
        </row>
        <row r="605">
          <cell r="P605">
            <v>1.3555</v>
          </cell>
        </row>
        <row r="606">
          <cell r="C606" t="str">
            <v>2010301</v>
          </cell>
        </row>
        <row r="606">
          <cell r="M606">
            <v>12.28644</v>
          </cell>
        </row>
        <row r="606">
          <cell r="P606">
            <v>9.057773</v>
          </cell>
        </row>
        <row r="607">
          <cell r="C607" t="str">
            <v>2130302</v>
          </cell>
        </row>
        <row r="607">
          <cell r="M607">
            <v>1</v>
          </cell>
        </row>
        <row r="607">
          <cell r="P607">
            <v>1</v>
          </cell>
        </row>
        <row r="608">
          <cell r="C608" t="str">
            <v>2130302</v>
          </cell>
        </row>
        <row r="608">
          <cell r="M608">
            <v>1.718952</v>
          </cell>
        </row>
        <row r="608">
          <cell r="P608">
            <v>1.197419</v>
          </cell>
        </row>
        <row r="609">
          <cell r="C609" t="str">
            <v>2130302</v>
          </cell>
        </row>
        <row r="609">
          <cell r="M609">
            <v>5.192438</v>
          </cell>
        </row>
        <row r="609">
          <cell r="P609">
            <v>3.316886</v>
          </cell>
        </row>
        <row r="610">
          <cell r="C610" t="str">
            <v>2010301</v>
          </cell>
        </row>
        <row r="610">
          <cell r="M610">
            <v>2.03</v>
          </cell>
        </row>
        <row r="610">
          <cell r="P610">
            <v>2.03</v>
          </cell>
        </row>
        <row r="611">
          <cell r="C611" t="str">
            <v>2130302</v>
          </cell>
        </row>
        <row r="611">
          <cell r="M611">
            <v>14.3246</v>
          </cell>
        </row>
        <row r="611">
          <cell r="P611">
            <v>11.115939</v>
          </cell>
        </row>
        <row r="612">
          <cell r="C612" t="str">
            <v>2130204</v>
          </cell>
        </row>
        <row r="612">
          <cell r="M612">
            <v>1.763474</v>
          </cell>
        </row>
        <row r="612">
          <cell r="P612">
            <v>1.09</v>
          </cell>
        </row>
        <row r="613">
          <cell r="C613" t="str">
            <v>2130204</v>
          </cell>
        </row>
        <row r="613">
          <cell r="M613">
            <v>3</v>
          </cell>
        </row>
        <row r="613">
          <cell r="P613">
            <v>2.956</v>
          </cell>
        </row>
        <row r="614">
          <cell r="C614" t="str">
            <v>2130204</v>
          </cell>
        </row>
        <row r="614">
          <cell r="M614">
            <v>4.702596</v>
          </cell>
        </row>
        <row r="614">
          <cell r="P614">
            <v>3.275817</v>
          </cell>
        </row>
        <row r="615">
          <cell r="C615" t="str">
            <v>2130204</v>
          </cell>
        </row>
        <row r="615">
          <cell r="M615">
            <v>14.197989</v>
          </cell>
        </row>
        <row r="615">
          <cell r="P615">
            <v>8.990997</v>
          </cell>
        </row>
        <row r="616">
          <cell r="C616" t="str">
            <v>2080150</v>
          </cell>
        </row>
        <row r="616">
          <cell r="M616">
            <v>3.179136</v>
          </cell>
        </row>
        <row r="616">
          <cell r="P616">
            <v>2.188658</v>
          </cell>
        </row>
        <row r="617">
          <cell r="C617" t="str">
            <v>2040601</v>
          </cell>
        </row>
        <row r="617">
          <cell r="M617">
            <v>1</v>
          </cell>
        </row>
        <row r="617">
          <cell r="P617">
            <v>0.9098</v>
          </cell>
        </row>
        <row r="618">
          <cell r="C618" t="str">
            <v>2040601</v>
          </cell>
        </row>
        <row r="618">
          <cell r="M618">
            <v>0.726501</v>
          </cell>
        </row>
        <row r="618">
          <cell r="P618">
            <v>0.1886</v>
          </cell>
        </row>
        <row r="619">
          <cell r="C619" t="str">
            <v>2080150</v>
          </cell>
        </row>
        <row r="619">
          <cell r="M619">
            <v>9.581418</v>
          </cell>
        </row>
        <row r="619">
          <cell r="P619">
            <v>4.824918</v>
          </cell>
        </row>
        <row r="620">
          <cell r="M620">
            <v>328.669443</v>
          </cell>
        </row>
        <row r="620">
          <cell r="P620">
            <v>257.63514</v>
          </cell>
        </row>
        <row r="621">
          <cell r="C621" t="str">
            <v>2010650</v>
          </cell>
        </row>
        <row r="621">
          <cell r="M621">
            <v>20.360102</v>
          </cell>
        </row>
        <row r="621">
          <cell r="P621">
            <v>16.505459</v>
          </cell>
        </row>
        <row r="622">
          <cell r="C622" t="str">
            <v>2010650</v>
          </cell>
        </row>
        <row r="622">
          <cell r="M622">
            <v>0.6</v>
          </cell>
        </row>
        <row r="622">
          <cell r="P622">
            <v>0</v>
          </cell>
        </row>
        <row r="623">
          <cell r="C623" t="str">
            <v>2010650</v>
          </cell>
        </row>
        <row r="623">
          <cell r="M623">
            <v>4.739461</v>
          </cell>
        </row>
        <row r="623">
          <cell r="P623">
            <v>3.21768</v>
          </cell>
        </row>
        <row r="624">
          <cell r="C624" t="str">
            <v>2010650</v>
          </cell>
        </row>
        <row r="624">
          <cell r="M624">
            <v>13</v>
          </cell>
        </row>
        <row r="624">
          <cell r="P624">
            <v>10.0204</v>
          </cell>
        </row>
        <row r="625">
          <cell r="C625" t="str">
            <v>2010650</v>
          </cell>
        </row>
        <row r="625">
          <cell r="M625">
            <v>199.66752</v>
          </cell>
        </row>
        <row r="625">
          <cell r="P625">
            <v>150.712404</v>
          </cell>
        </row>
        <row r="626">
          <cell r="C626" t="str">
            <v>2010650</v>
          </cell>
        </row>
        <row r="626">
          <cell r="M626">
            <v>21.1656</v>
          </cell>
        </row>
        <row r="626">
          <cell r="P626">
            <v>18.268901</v>
          </cell>
        </row>
        <row r="627">
          <cell r="C627" t="str">
            <v>2010650</v>
          </cell>
        </row>
        <row r="627">
          <cell r="M627">
            <v>7.635038</v>
          </cell>
        </row>
        <row r="627">
          <cell r="P627">
            <v>7.635038</v>
          </cell>
        </row>
        <row r="628">
          <cell r="C628" t="str">
            <v>2010650</v>
          </cell>
        </row>
        <row r="628">
          <cell r="M628">
            <v>61.501722</v>
          </cell>
        </row>
        <row r="628">
          <cell r="P628">
            <v>51.275258</v>
          </cell>
        </row>
        <row r="629">
          <cell r="M629">
            <v>668.261582</v>
          </cell>
        </row>
        <row r="629">
          <cell r="P629">
            <v>505.981733</v>
          </cell>
        </row>
        <row r="630">
          <cell r="C630" t="str">
            <v>2010301</v>
          </cell>
        </row>
        <row r="630">
          <cell r="M630">
            <v>26</v>
          </cell>
        </row>
        <row r="630">
          <cell r="P630">
            <v>15.537943</v>
          </cell>
        </row>
        <row r="631">
          <cell r="C631" t="str">
            <v>2010301</v>
          </cell>
        </row>
        <row r="631">
          <cell r="M631">
            <v>34.74588</v>
          </cell>
        </row>
        <row r="631">
          <cell r="P631">
            <v>34.74588</v>
          </cell>
        </row>
        <row r="632">
          <cell r="C632" t="str">
            <v>2010301</v>
          </cell>
        </row>
        <row r="632">
          <cell r="M632">
            <v>97.936997</v>
          </cell>
        </row>
        <row r="632">
          <cell r="P632">
            <v>94.779721</v>
          </cell>
        </row>
        <row r="633">
          <cell r="C633" t="str">
            <v>2010301</v>
          </cell>
        </row>
        <row r="633">
          <cell r="M633">
            <v>479.769</v>
          </cell>
        </row>
        <row r="633">
          <cell r="P633">
            <v>342.944296</v>
          </cell>
        </row>
        <row r="634">
          <cell r="C634" t="str">
            <v>2010301</v>
          </cell>
        </row>
        <row r="634">
          <cell r="M634">
            <v>16.78</v>
          </cell>
        </row>
        <row r="634">
          <cell r="P634">
            <v>6.073893</v>
          </cell>
        </row>
        <row r="635">
          <cell r="C635" t="str">
            <v>2010301</v>
          </cell>
        </row>
        <row r="635">
          <cell r="M635">
            <v>13.029705</v>
          </cell>
        </row>
        <row r="635">
          <cell r="P635">
            <v>11.9</v>
          </cell>
        </row>
      </sheetData>
      <sheetData sheetId="15" refreshError="1"/>
      <sheetData sheetId="16" refreshError="1">
        <row r="3">
          <cell r="C3" t="str">
            <v>功能科目编码</v>
          </cell>
        </row>
        <row r="3">
          <cell r="V3" t="str">
            <v>合计</v>
          </cell>
        </row>
        <row r="4">
          <cell r="Y4" t="str">
            <v>支付金额</v>
          </cell>
          <cell r="Z4" t="str">
            <v>列收列支
或调整</v>
          </cell>
        </row>
        <row r="6">
          <cell r="V6">
            <v>168875.758359</v>
          </cell>
          <cell r="W6">
            <v>0</v>
          </cell>
          <cell r="X6">
            <v>105574.215953</v>
          </cell>
          <cell r="Y6">
            <v>92260.417841</v>
          </cell>
          <cell r="Z6">
            <v>18441</v>
          </cell>
          <cell r="AA6">
            <v>44821.122606</v>
          </cell>
          <cell r="AB6">
            <v>85764.068711</v>
          </cell>
          <cell r="AC6">
            <v>4333.380521</v>
          </cell>
        </row>
        <row r="7">
          <cell r="V7">
            <v>2452.8998</v>
          </cell>
        </row>
        <row r="7">
          <cell r="Y7">
            <v>1068.941044</v>
          </cell>
          <cell r="Z7">
            <v>0</v>
          </cell>
        </row>
        <row r="8">
          <cell r="C8" t="str">
            <v>2010302</v>
          </cell>
        </row>
        <row r="8">
          <cell r="V8">
            <v>40</v>
          </cell>
        </row>
        <row r="8">
          <cell r="Y8">
            <v>25.2</v>
          </cell>
        </row>
        <row r="9">
          <cell r="C9" t="str">
            <v>2010302</v>
          </cell>
        </row>
        <row r="9">
          <cell r="V9">
            <v>1023.96</v>
          </cell>
        </row>
        <row r="9">
          <cell r="Y9">
            <v>354.32701</v>
          </cell>
        </row>
        <row r="10">
          <cell r="C10" t="str">
            <v>2010302</v>
          </cell>
        </row>
        <row r="10">
          <cell r="V10">
            <v>12</v>
          </cell>
        </row>
        <row r="10">
          <cell r="Y10">
            <v>0</v>
          </cell>
        </row>
        <row r="11">
          <cell r="C11" t="str">
            <v>2010302</v>
          </cell>
        </row>
        <row r="11">
          <cell r="V11">
            <v>8</v>
          </cell>
        </row>
        <row r="11">
          <cell r="Y11">
            <v>0.47332</v>
          </cell>
        </row>
        <row r="12">
          <cell r="C12" t="str">
            <v>2010302</v>
          </cell>
        </row>
        <row r="12">
          <cell r="V12">
            <v>10</v>
          </cell>
        </row>
        <row r="12">
          <cell r="Y12">
            <v>0</v>
          </cell>
        </row>
        <row r="13">
          <cell r="C13" t="str">
            <v>2010302</v>
          </cell>
        </row>
        <row r="13">
          <cell r="V13">
            <v>245</v>
          </cell>
        </row>
        <row r="13">
          <cell r="Y13">
            <v>170.7</v>
          </cell>
        </row>
        <row r="14">
          <cell r="C14" t="str">
            <v>2010302</v>
          </cell>
        </row>
        <row r="14">
          <cell r="V14">
            <v>18.6</v>
          </cell>
        </row>
        <row r="14">
          <cell r="Y14">
            <v>18.6</v>
          </cell>
        </row>
        <row r="15">
          <cell r="C15" t="str">
            <v>2010302</v>
          </cell>
        </row>
        <row r="15">
          <cell r="V15">
            <v>384.84</v>
          </cell>
        </row>
        <row r="15">
          <cell r="Y15">
            <v>10</v>
          </cell>
        </row>
        <row r="16">
          <cell r="C16" t="str">
            <v>2010302</v>
          </cell>
        </row>
        <row r="16">
          <cell r="V16">
            <v>4</v>
          </cell>
        </row>
        <row r="16">
          <cell r="Y16">
            <v>4</v>
          </cell>
        </row>
        <row r="17">
          <cell r="C17" t="str">
            <v>2010302</v>
          </cell>
        </row>
        <row r="17">
          <cell r="V17">
            <v>10.9</v>
          </cell>
        </row>
        <row r="17">
          <cell r="Y17">
            <v>10.9</v>
          </cell>
        </row>
        <row r="18">
          <cell r="C18" t="str">
            <v>2010302</v>
          </cell>
        </row>
        <row r="18">
          <cell r="V18">
            <v>8</v>
          </cell>
        </row>
        <row r="18">
          <cell r="Y18">
            <v>8</v>
          </cell>
        </row>
        <row r="19">
          <cell r="C19" t="str">
            <v>2010302</v>
          </cell>
        </row>
        <row r="19">
          <cell r="V19">
            <v>79.68</v>
          </cell>
        </row>
        <row r="19">
          <cell r="Y19">
            <v>66.53992</v>
          </cell>
        </row>
        <row r="20">
          <cell r="C20" t="str">
            <v>2010302</v>
          </cell>
        </row>
        <row r="20">
          <cell r="V20">
            <v>25</v>
          </cell>
        </row>
        <row r="20">
          <cell r="Y20">
            <v>25</v>
          </cell>
        </row>
        <row r="21">
          <cell r="C21" t="str">
            <v>2010302</v>
          </cell>
        </row>
        <row r="21">
          <cell r="V21">
            <v>300</v>
          </cell>
        </row>
        <row r="21">
          <cell r="Y21">
            <v>143.521717</v>
          </cell>
        </row>
        <row r="22">
          <cell r="C22" t="str">
            <v>2010302</v>
          </cell>
        </row>
        <row r="22">
          <cell r="V22">
            <v>27.5</v>
          </cell>
        </row>
        <row r="22">
          <cell r="Y22">
            <v>25.361947</v>
          </cell>
        </row>
        <row r="23">
          <cell r="C23" t="str">
            <v>2010302</v>
          </cell>
        </row>
        <row r="23">
          <cell r="V23">
            <v>39.4198</v>
          </cell>
        </row>
        <row r="24">
          <cell r="C24" t="str">
            <v>2011308</v>
          </cell>
        </row>
        <row r="24">
          <cell r="V24">
            <v>4</v>
          </cell>
        </row>
        <row r="24">
          <cell r="Y24">
            <v>0</v>
          </cell>
        </row>
        <row r="25">
          <cell r="C25">
            <v>2290201</v>
          </cell>
        </row>
        <row r="25">
          <cell r="V25">
            <v>12</v>
          </cell>
        </row>
        <row r="25">
          <cell r="Y25">
            <v>6.31713</v>
          </cell>
        </row>
        <row r="26">
          <cell r="C26">
            <v>2299999</v>
          </cell>
        </row>
        <row r="26">
          <cell r="V26">
            <v>100</v>
          </cell>
        </row>
        <row r="26">
          <cell r="Y26">
            <v>100</v>
          </cell>
        </row>
        <row r="27">
          <cell r="C27">
            <v>2299999</v>
          </cell>
        </row>
        <row r="27">
          <cell r="V27">
            <v>100</v>
          </cell>
        </row>
        <row r="27">
          <cell r="Y27">
            <v>100</v>
          </cell>
        </row>
        <row r="28">
          <cell r="V28">
            <v>884.88</v>
          </cell>
        </row>
        <row r="28">
          <cell r="Y28">
            <v>420.296705</v>
          </cell>
          <cell r="Z28">
            <v>0</v>
          </cell>
        </row>
        <row r="29">
          <cell r="C29" t="str">
            <v>2010302</v>
          </cell>
        </row>
        <row r="29">
          <cell r="V29">
            <v>6.84</v>
          </cell>
        </row>
        <row r="29">
          <cell r="Y29">
            <v>6.62</v>
          </cell>
        </row>
        <row r="30">
          <cell r="C30" t="str">
            <v>2013202</v>
          </cell>
        </row>
        <row r="30">
          <cell r="V30">
            <v>20</v>
          </cell>
        </row>
        <row r="30">
          <cell r="Y30">
            <v>1.7808</v>
          </cell>
        </row>
        <row r="31">
          <cell r="C31" t="str">
            <v>2013202</v>
          </cell>
        </row>
        <row r="31">
          <cell r="V31">
            <v>34</v>
          </cell>
        </row>
        <row r="31">
          <cell r="Y31">
            <v>16.142154</v>
          </cell>
        </row>
        <row r="32">
          <cell r="C32" t="str">
            <v>2013202</v>
          </cell>
        </row>
        <row r="32">
          <cell r="V32">
            <v>5</v>
          </cell>
        </row>
        <row r="32">
          <cell r="Y32">
            <v>1.69638</v>
          </cell>
        </row>
        <row r="33">
          <cell r="C33" t="str">
            <v>2013202</v>
          </cell>
        </row>
        <row r="33">
          <cell r="V33">
            <v>8.78</v>
          </cell>
        </row>
        <row r="33">
          <cell r="Y33">
            <v>6.017257</v>
          </cell>
        </row>
        <row r="34">
          <cell r="C34" t="str">
            <v>2013299</v>
          </cell>
        </row>
        <row r="34">
          <cell r="V34">
            <v>7</v>
          </cell>
        </row>
        <row r="34">
          <cell r="Y34">
            <v>0</v>
          </cell>
        </row>
        <row r="35">
          <cell r="C35" t="str">
            <v>2013299</v>
          </cell>
        </row>
        <row r="35">
          <cell r="V35">
            <v>15</v>
          </cell>
        </row>
        <row r="35">
          <cell r="Y35">
            <v>0</v>
          </cell>
        </row>
        <row r="36">
          <cell r="C36" t="str">
            <v>2013299</v>
          </cell>
        </row>
        <row r="36">
          <cell r="V36">
            <v>20.34</v>
          </cell>
        </row>
        <row r="36">
          <cell r="Y36">
            <v>0</v>
          </cell>
        </row>
        <row r="37">
          <cell r="C37" t="str">
            <v>2013299</v>
          </cell>
        </row>
        <row r="37">
          <cell r="V37">
            <v>160</v>
          </cell>
        </row>
        <row r="37">
          <cell r="Y37">
            <v>22.0323</v>
          </cell>
        </row>
        <row r="38">
          <cell r="C38" t="str">
            <v>2013299</v>
          </cell>
        </row>
        <row r="38">
          <cell r="V38">
            <v>17</v>
          </cell>
        </row>
        <row r="38">
          <cell r="Y38">
            <v>17</v>
          </cell>
        </row>
        <row r="39">
          <cell r="C39" t="str">
            <v>2069999</v>
          </cell>
        </row>
        <row r="39">
          <cell r="V39">
            <v>410</v>
          </cell>
        </row>
        <row r="39">
          <cell r="Y39">
            <v>267.987814</v>
          </cell>
        </row>
        <row r="40">
          <cell r="C40" t="str">
            <v>2130152</v>
          </cell>
        </row>
        <row r="40">
          <cell r="V40">
            <v>21</v>
          </cell>
        </row>
        <row r="40">
          <cell r="Y40">
            <v>21</v>
          </cell>
        </row>
        <row r="41">
          <cell r="C41" t="str">
            <v>2130705</v>
          </cell>
        </row>
        <row r="41">
          <cell r="V41">
            <v>60.02</v>
          </cell>
        </row>
        <row r="41">
          <cell r="Y41">
            <v>60.02</v>
          </cell>
        </row>
        <row r="42">
          <cell r="C42" t="str">
            <v>2130705</v>
          </cell>
        </row>
        <row r="42">
          <cell r="V42">
            <v>99.9</v>
          </cell>
        </row>
        <row r="42">
          <cell r="Y42">
            <v>0</v>
          </cell>
        </row>
        <row r="43">
          <cell r="V43">
            <v>534.07</v>
          </cell>
        </row>
        <row r="43">
          <cell r="Y43">
            <v>227.184065</v>
          </cell>
          <cell r="Z43">
            <v>0</v>
          </cell>
        </row>
        <row r="44">
          <cell r="C44" t="str">
            <v>2011102</v>
          </cell>
        </row>
        <row r="44">
          <cell r="V44">
            <v>425</v>
          </cell>
        </row>
        <row r="44">
          <cell r="Y44">
            <v>185.437503</v>
          </cell>
        </row>
        <row r="45">
          <cell r="C45" t="str">
            <v>2011102</v>
          </cell>
        </row>
        <row r="45">
          <cell r="V45">
            <v>25</v>
          </cell>
        </row>
        <row r="45">
          <cell r="Y45">
            <v>24.98</v>
          </cell>
        </row>
        <row r="46">
          <cell r="C46" t="str">
            <v>2011102</v>
          </cell>
        </row>
        <row r="46">
          <cell r="V46">
            <v>3.44</v>
          </cell>
        </row>
        <row r="46">
          <cell r="Y46">
            <v>3.438386</v>
          </cell>
        </row>
        <row r="47">
          <cell r="C47" t="str">
            <v>2011102</v>
          </cell>
        </row>
        <row r="47">
          <cell r="V47">
            <v>8.65</v>
          </cell>
        </row>
        <row r="47">
          <cell r="Y47">
            <v>3.162286</v>
          </cell>
        </row>
        <row r="48">
          <cell r="C48" t="str">
            <v>2011102</v>
          </cell>
        </row>
        <row r="48">
          <cell r="V48">
            <v>29.1</v>
          </cell>
        </row>
        <row r="48">
          <cell r="Y48">
            <v>0</v>
          </cell>
        </row>
        <row r="49">
          <cell r="C49" t="str">
            <v>2011102</v>
          </cell>
        </row>
        <row r="49">
          <cell r="V49">
            <v>18</v>
          </cell>
        </row>
        <row r="49">
          <cell r="Y49">
            <v>5.29089</v>
          </cell>
        </row>
        <row r="50">
          <cell r="C50" t="str">
            <v>2011102</v>
          </cell>
        </row>
        <row r="50">
          <cell r="V50">
            <v>4.88</v>
          </cell>
        </row>
        <row r="50">
          <cell r="Y50">
            <v>4.875</v>
          </cell>
        </row>
        <row r="51">
          <cell r="C51" t="str">
            <v>2011199</v>
          </cell>
        </row>
        <row r="51">
          <cell r="V51">
            <v>20</v>
          </cell>
        </row>
        <row r="51">
          <cell r="Y51">
            <v>0</v>
          </cell>
        </row>
        <row r="52">
          <cell r="V52">
            <v>2735.37</v>
          </cell>
        </row>
        <row r="52">
          <cell r="Y52">
            <v>1389.028339</v>
          </cell>
          <cell r="Z52">
            <v>0</v>
          </cell>
        </row>
        <row r="53">
          <cell r="C53" t="str">
            <v>2013602</v>
          </cell>
        </row>
        <row r="53">
          <cell r="V53">
            <v>2</v>
          </cell>
        </row>
        <row r="53">
          <cell r="Y53">
            <v>2</v>
          </cell>
        </row>
        <row r="54">
          <cell r="C54" t="str">
            <v>2013602</v>
          </cell>
        </row>
        <row r="54">
          <cell r="V54">
            <v>300</v>
          </cell>
        </row>
        <row r="54">
          <cell r="Y54">
            <v>29.25</v>
          </cell>
        </row>
        <row r="55">
          <cell r="C55" t="str">
            <v>2013602</v>
          </cell>
        </row>
        <row r="55">
          <cell r="V55">
            <v>435</v>
          </cell>
        </row>
        <row r="55">
          <cell r="Y55">
            <v>157.14715</v>
          </cell>
        </row>
        <row r="56">
          <cell r="C56" t="str">
            <v>2013602</v>
          </cell>
        </row>
        <row r="56">
          <cell r="V56">
            <v>112</v>
          </cell>
        </row>
        <row r="56">
          <cell r="Y56">
            <v>7.370432</v>
          </cell>
        </row>
        <row r="57">
          <cell r="C57" t="str">
            <v>2013602</v>
          </cell>
        </row>
        <row r="57">
          <cell r="V57">
            <v>30</v>
          </cell>
        </row>
        <row r="57">
          <cell r="Y57">
            <v>8</v>
          </cell>
        </row>
        <row r="58">
          <cell r="C58" t="str">
            <v>2013602</v>
          </cell>
        </row>
        <row r="58">
          <cell r="V58">
            <v>2</v>
          </cell>
        </row>
        <row r="58">
          <cell r="Y58">
            <v>0.13</v>
          </cell>
        </row>
        <row r="59">
          <cell r="C59" t="str">
            <v>2013602</v>
          </cell>
        </row>
        <row r="59">
          <cell r="V59">
            <v>2</v>
          </cell>
        </row>
        <row r="59">
          <cell r="Y59">
            <v>1.725</v>
          </cell>
        </row>
        <row r="60">
          <cell r="C60" t="str">
            <v>2013602</v>
          </cell>
        </row>
        <row r="60">
          <cell r="V60">
            <v>16</v>
          </cell>
        </row>
        <row r="60">
          <cell r="Y60">
            <v>15.9503</v>
          </cell>
        </row>
        <row r="61">
          <cell r="C61" t="str">
            <v>2013602</v>
          </cell>
        </row>
        <row r="61">
          <cell r="V61">
            <v>4.52</v>
          </cell>
        </row>
        <row r="61">
          <cell r="Y61">
            <v>4.52</v>
          </cell>
        </row>
        <row r="62">
          <cell r="C62" t="str">
            <v>2013699</v>
          </cell>
        </row>
        <row r="62">
          <cell r="V62">
            <v>93.57</v>
          </cell>
        </row>
        <row r="62">
          <cell r="Y62">
            <v>93.5697</v>
          </cell>
        </row>
        <row r="63">
          <cell r="C63" t="str">
            <v>2013699</v>
          </cell>
        </row>
        <row r="63">
          <cell r="V63">
            <v>15.78</v>
          </cell>
        </row>
        <row r="63">
          <cell r="Y63">
            <v>5.78</v>
          </cell>
        </row>
        <row r="64">
          <cell r="C64" t="str">
            <v>2013699</v>
          </cell>
        </row>
        <row r="64">
          <cell r="V64">
            <v>200</v>
          </cell>
        </row>
        <row r="64">
          <cell r="Y64">
            <v>100</v>
          </cell>
        </row>
        <row r="65">
          <cell r="C65" t="str">
            <v>2040299</v>
          </cell>
        </row>
        <row r="65">
          <cell r="V65">
            <v>20</v>
          </cell>
        </row>
        <row r="65">
          <cell r="Y65">
            <v>20</v>
          </cell>
        </row>
        <row r="66">
          <cell r="C66" t="str">
            <v>2040299</v>
          </cell>
        </row>
        <row r="66">
          <cell r="V66">
            <v>20</v>
          </cell>
        </row>
        <row r="66">
          <cell r="Y66">
            <v>0</v>
          </cell>
        </row>
        <row r="67">
          <cell r="C67" t="str">
            <v>2040299</v>
          </cell>
        </row>
        <row r="67">
          <cell r="V67">
            <v>5</v>
          </cell>
        </row>
        <row r="67">
          <cell r="Y67">
            <v>0</v>
          </cell>
        </row>
        <row r="68">
          <cell r="C68" t="str">
            <v>2040299</v>
          </cell>
        </row>
        <row r="68">
          <cell r="V68">
            <v>10</v>
          </cell>
        </row>
        <row r="68">
          <cell r="Y68">
            <v>0.165</v>
          </cell>
        </row>
        <row r="69">
          <cell r="C69" t="str">
            <v>2040299</v>
          </cell>
        </row>
        <row r="69">
          <cell r="V69">
            <v>1025.5</v>
          </cell>
        </row>
        <row r="69">
          <cell r="Y69">
            <v>692.570757</v>
          </cell>
        </row>
        <row r="70">
          <cell r="C70" t="str">
            <v>2040299</v>
          </cell>
        </row>
        <row r="70">
          <cell r="V70">
            <v>185</v>
          </cell>
        </row>
        <row r="70">
          <cell r="Y70">
            <v>123.75</v>
          </cell>
        </row>
        <row r="71">
          <cell r="C71" t="str">
            <v>2040299</v>
          </cell>
        </row>
        <row r="71">
          <cell r="V71">
            <v>40</v>
          </cell>
        </row>
        <row r="71">
          <cell r="Y71">
            <v>9.55</v>
          </cell>
        </row>
        <row r="72">
          <cell r="C72" t="str">
            <v>2040499</v>
          </cell>
        </row>
        <row r="72">
          <cell r="V72">
            <v>80</v>
          </cell>
        </row>
        <row r="72">
          <cell r="Y72">
            <v>46.8</v>
          </cell>
        </row>
        <row r="73">
          <cell r="C73" t="str">
            <v>2040599</v>
          </cell>
        </row>
        <row r="73">
          <cell r="V73">
            <v>115</v>
          </cell>
        </row>
        <row r="73">
          <cell r="Y73">
            <v>68.75</v>
          </cell>
        </row>
        <row r="74">
          <cell r="C74" t="str">
            <v>2040699</v>
          </cell>
        </row>
        <row r="74">
          <cell r="V74">
            <v>22</v>
          </cell>
        </row>
        <row r="74">
          <cell r="Y74">
            <v>2</v>
          </cell>
        </row>
        <row r="75">
          <cell r="V75">
            <v>20.8</v>
          </cell>
        </row>
        <row r="75">
          <cell r="Y75">
            <v>8.35495</v>
          </cell>
          <cell r="Z75">
            <v>0</v>
          </cell>
        </row>
        <row r="76">
          <cell r="C76" t="str">
            <v>2030601</v>
          </cell>
        </row>
        <row r="76">
          <cell r="V76">
            <v>3</v>
          </cell>
        </row>
        <row r="76">
          <cell r="Y76">
            <v>3</v>
          </cell>
        </row>
        <row r="77">
          <cell r="C77" t="str">
            <v>2299999</v>
          </cell>
        </row>
        <row r="77">
          <cell r="V77">
            <v>4.1</v>
          </cell>
        </row>
        <row r="77">
          <cell r="Y77">
            <v>4.07995</v>
          </cell>
        </row>
        <row r="78">
          <cell r="C78" t="str">
            <v>2299999</v>
          </cell>
        </row>
        <row r="78">
          <cell r="V78">
            <v>3.6</v>
          </cell>
        </row>
        <row r="78">
          <cell r="Y78">
            <v>0.18</v>
          </cell>
        </row>
        <row r="79">
          <cell r="C79" t="str">
            <v>2299999</v>
          </cell>
        </row>
        <row r="79">
          <cell r="V79">
            <v>10</v>
          </cell>
        </row>
        <row r="79">
          <cell r="Y79">
            <v>0.995</v>
          </cell>
        </row>
        <row r="80">
          <cell r="C80" t="str">
            <v>2299999</v>
          </cell>
        </row>
        <row r="80">
          <cell r="V80">
            <v>0.1</v>
          </cell>
        </row>
        <row r="80">
          <cell r="Y80">
            <v>0.1</v>
          </cell>
        </row>
        <row r="81">
          <cell r="V81">
            <v>213.89834</v>
          </cell>
        </row>
        <row r="81">
          <cell r="Y81">
            <v>61.407079</v>
          </cell>
          <cell r="Z81">
            <v>0</v>
          </cell>
        </row>
        <row r="82">
          <cell r="C82" t="str">
            <v>2013802</v>
          </cell>
        </row>
        <row r="82">
          <cell r="V82">
            <v>2</v>
          </cell>
        </row>
        <row r="82">
          <cell r="Y82">
            <v>1.6603</v>
          </cell>
        </row>
        <row r="83">
          <cell r="C83" t="str">
            <v>2013802</v>
          </cell>
        </row>
        <row r="83">
          <cell r="V83">
            <v>18</v>
          </cell>
        </row>
        <row r="83">
          <cell r="Y83">
            <v>2.4485</v>
          </cell>
        </row>
        <row r="84">
          <cell r="C84" t="str">
            <v>2013802</v>
          </cell>
        </row>
        <row r="84">
          <cell r="V84">
            <v>42.39</v>
          </cell>
        </row>
        <row r="84">
          <cell r="Y84">
            <v>28.178179</v>
          </cell>
        </row>
        <row r="85">
          <cell r="C85" t="str">
            <v>2013802</v>
          </cell>
        </row>
        <row r="85">
          <cell r="V85">
            <v>5.26</v>
          </cell>
        </row>
        <row r="85">
          <cell r="Y85">
            <v>5.26</v>
          </cell>
        </row>
        <row r="86">
          <cell r="C86" t="str">
            <v>2013812</v>
          </cell>
        </row>
        <row r="86">
          <cell r="V86">
            <v>2.84684</v>
          </cell>
        </row>
        <row r="86">
          <cell r="Y86">
            <v>0</v>
          </cell>
        </row>
        <row r="87">
          <cell r="C87" t="str">
            <v>2013812</v>
          </cell>
        </row>
        <row r="87">
          <cell r="V87">
            <v>4</v>
          </cell>
        </row>
        <row r="87">
          <cell r="Y87">
            <v>0</v>
          </cell>
        </row>
        <row r="88">
          <cell r="C88" t="str">
            <v>2013816</v>
          </cell>
        </row>
        <row r="88">
          <cell r="V88">
            <v>15</v>
          </cell>
        </row>
        <row r="88">
          <cell r="Y88">
            <v>1.9721</v>
          </cell>
        </row>
        <row r="89">
          <cell r="C89" t="str">
            <v>2013816</v>
          </cell>
        </row>
        <row r="89">
          <cell r="V89">
            <v>10</v>
          </cell>
        </row>
        <row r="89">
          <cell r="Y89">
            <v>9.988</v>
          </cell>
        </row>
        <row r="90">
          <cell r="C90" t="str">
            <v>2013899</v>
          </cell>
        </row>
        <row r="90">
          <cell r="V90">
            <v>4</v>
          </cell>
        </row>
        <row r="90">
          <cell r="Y90">
            <v>0</v>
          </cell>
        </row>
        <row r="91">
          <cell r="C91" t="str">
            <v>2069999</v>
          </cell>
        </row>
        <row r="91">
          <cell r="V91">
            <v>100</v>
          </cell>
        </row>
        <row r="91">
          <cell r="Y91">
            <v>11.9</v>
          </cell>
        </row>
        <row r="92">
          <cell r="C92" t="str">
            <v>2069999</v>
          </cell>
        </row>
        <row r="92">
          <cell r="V92">
            <v>10.4015</v>
          </cell>
        </row>
        <row r="92">
          <cell r="Y92">
            <v>0</v>
          </cell>
        </row>
        <row r="93">
          <cell r="V93">
            <v>363.2475</v>
          </cell>
        </row>
        <row r="93">
          <cell r="Y93">
            <v>230.089963</v>
          </cell>
          <cell r="Z93">
            <v>0</v>
          </cell>
        </row>
        <row r="94">
          <cell r="C94" t="str">
            <v>2010602</v>
          </cell>
        </row>
        <row r="94">
          <cell r="V94">
            <v>0.77</v>
          </cell>
        </row>
        <row r="94">
          <cell r="Y94">
            <v>0.7692</v>
          </cell>
        </row>
        <row r="95">
          <cell r="C95" t="str">
            <v>2010602</v>
          </cell>
        </row>
        <row r="95">
          <cell r="V95">
            <v>9</v>
          </cell>
        </row>
        <row r="95">
          <cell r="Y95">
            <v>7.026</v>
          </cell>
        </row>
        <row r="96">
          <cell r="C96" t="str">
            <v>2010602</v>
          </cell>
        </row>
        <row r="96">
          <cell r="V96">
            <v>42</v>
          </cell>
        </row>
        <row r="96">
          <cell r="Y96">
            <v>3.392163</v>
          </cell>
        </row>
        <row r="97">
          <cell r="C97" t="str">
            <v>2010602</v>
          </cell>
        </row>
        <row r="97">
          <cell r="V97">
            <v>1.2775</v>
          </cell>
        </row>
        <row r="97">
          <cell r="Y97">
            <v>1.2775</v>
          </cell>
        </row>
        <row r="98">
          <cell r="C98" t="str">
            <v>2010602</v>
          </cell>
        </row>
        <row r="98">
          <cell r="V98">
            <v>55</v>
          </cell>
        </row>
        <row r="98">
          <cell r="Y98">
            <v>10.95</v>
          </cell>
        </row>
        <row r="99">
          <cell r="C99" t="str">
            <v>2010602</v>
          </cell>
        </row>
        <row r="99">
          <cell r="V99">
            <v>4.2</v>
          </cell>
        </row>
        <row r="99">
          <cell r="Y99">
            <v>4.1</v>
          </cell>
        </row>
        <row r="100">
          <cell r="C100" t="str">
            <v>2010607</v>
          </cell>
        </row>
        <row r="100">
          <cell r="V100">
            <v>251</v>
          </cell>
        </row>
        <row r="100">
          <cell r="Y100">
            <v>202.5751</v>
          </cell>
        </row>
        <row r="101">
          <cell r="V101">
            <v>91.92</v>
          </cell>
        </row>
        <row r="101">
          <cell r="Y101">
            <v>21.502863</v>
          </cell>
          <cell r="Z101">
            <v>0</v>
          </cell>
        </row>
        <row r="102">
          <cell r="C102" t="str">
            <v>2010802</v>
          </cell>
        </row>
        <row r="102">
          <cell r="V102">
            <v>1.92</v>
          </cell>
        </row>
        <row r="102">
          <cell r="Y102">
            <v>1.92</v>
          </cell>
        </row>
        <row r="103">
          <cell r="C103" t="str">
            <v>2010804</v>
          </cell>
        </row>
        <row r="103">
          <cell r="V103">
            <v>90</v>
          </cell>
        </row>
        <row r="103">
          <cell r="Y103">
            <v>19.582863</v>
          </cell>
        </row>
        <row r="104">
          <cell r="V104">
            <v>99.87</v>
          </cell>
        </row>
        <row r="104">
          <cell r="Y104">
            <v>70.908412</v>
          </cell>
          <cell r="Z104">
            <v>0</v>
          </cell>
        </row>
        <row r="105">
          <cell r="C105" t="str">
            <v>2010302</v>
          </cell>
        </row>
        <row r="105">
          <cell r="V105">
            <v>1.4</v>
          </cell>
        </row>
        <row r="105">
          <cell r="Y105">
            <v>1.4</v>
          </cell>
        </row>
        <row r="106">
          <cell r="C106" t="str">
            <v>2012902</v>
          </cell>
        </row>
        <row r="106">
          <cell r="V106">
            <v>8</v>
          </cell>
        </row>
        <row r="106">
          <cell r="Y106">
            <v>7.35</v>
          </cell>
        </row>
        <row r="107">
          <cell r="C107" t="str">
            <v>2012902</v>
          </cell>
        </row>
        <row r="107">
          <cell r="V107">
            <v>13</v>
          </cell>
        </row>
        <row r="107">
          <cell r="Y107">
            <v>4.378112</v>
          </cell>
        </row>
        <row r="108">
          <cell r="C108" t="str">
            <v>2012902</v>
          </cell>
        </row>
        <row r="108">
          <cell r="V108">
            <v>6.97</v>
          </cell>
        </row>
        <row r="108">
          <cell r="Y108">
            <v>6.97</v>
          </cell>
        </row>
        <row r="109">
          <cell r="C109" t="str">
            <v>2012906</v>
          </cell>
        </row>
        <row r="109">
          <cell r="V109">
            <v>32</v>
          </cell>
        </row>
        <row r="109">
          <cell r="Y109">
            <v>22.3103</v>
          </cell>
        </row>
        <row r="110">
          <cell r="C110" t="str">
            <v>2012906</v>
          </cell>
        </row>
        <row r="110">
          <cell r="V110">
            <v>25</v>
          </cell>
        </row>
        <row r="110">
          <cell r="Y110">
            <v>25</v>
          </cell>
        </row>
        <row r="111">
          <cell r="C111" t="str">
            <v>2012999</v>
          </cell>
        </row>
        <row r="111">
          <cell r="V111">
            <v>10</v>
          </cell>
        </row>
        <row r="111">
          <cell r="Y111">
            <v>0</v>
          </cell>
        </row>
        <row r="112">
          <cell r="C112" t="str">
            <v>2012999</v>
          </cell>
        </row>
        <row r="112">
          <cell r="V112">
            <v>3.5</v>
          </cell>
        </row>
        <row r="112">
          <cell r="Y112">
            <v>3.5</v>
          </cell>
        </row>
        <row r="113">
          <cell r="V113">
            <v>808.58258</v>
          </cell>
        </row>
        <row r="113">
          <cell r="Y113">
            <v>271.902493</v>
          </cell>
          <cell r="Z113">
            <v>0</v>
          </cell>
        </row>
        <row r="114">
          <cell r="C114" t="str">
            <v>2013302</v>
          </cell>
        </row>
        <row r="114">
          <cell r="V114">
            <v>5</v>
          </cell>
        </row>
        <row r="114">
          <cell r="Y114">
            <v>1.8718</v>
          </cell>
        </row>
        <row r="115">
          <cell r="C115" t="str">
            <v>2013302</v>
          </cell>
        </row>
        <row r="115">
          <cell r="V115">
            <v>50</v>
          </cell>
        </row>
        <row r="115">
          <cell r="Y115">
            <v>4.220248</v>
          </cell>
        </row>
        <row r="116">
          <cell r="C116" t="str">
            <v>2013302</v>
          </cell>
        </row>
        <row r="116">
          <cell r="V116">
            <v>500</v>
          </cell>
        </row>
        <row r="116">
          <cell r="Y116">
            <v>124.576393</v>
          </cell>
        </row>
        <row r="117">
          <cell r="C117" t="str">
            <v>2013302</v>
          </cell>
        </row>
        <row r="117">
          <cell r="V117">
            <v>20.56638</v>
          </cell>
        </row>
        <row r="117">
          <cell r="Y117">
            <v>16.028052</v>
          </cell>
        </row>
        <row r="118">
          <cell r="C118" t="str">
            <v>2013302</v>
          </cell>
        </row>
        <row r="118">
          <cell r="V118">
            <v>200</v>
          </cell>
        </row>
        <row r="118">
          <cell r="Y118">
            <v>123.5098</v>
          </cell>
        </row>
        <row r="119">
          <cell r="C119" t="str">
            <v>2013302</v>
          </cell>
        </row>
        <row r="119">
          <cell r="V119">
            <v>1.6762</v>
          </cell>
        </row>
        <row r="119">
          <cell r="Y119">
            <v>0.3762</v>
          </cell>
        </row>
        <row r="120">
          <cell r="C120" t="str">
            <v>2013302</v>
          </cell>
        </row>
        <row r="120">
          <cell r="V120">
            <v>1.34</v>
          </cell>
        </row>
        <row r="120">
          <cell r="Y120">
            <v>1.32</v>
          </cell>
        </row>
        <row r="121">
          <cell r="C121" t="str">
            <v>2079999</v>
          </cell>
        </row>
        <row r="121">
          <cell r="V121">
            <v>30</v>
          </cell>
        </row>
        <row r="121">
          <cell r="Y121">
            <v>0</v>
          </cell>
        </row>
        <row r="122">
          <cell r="V122">
            <v>593.601776</v>
          </cell>
        </row>
        <row r="122">
          <cell r="Y122">
            <v>352.589974</v>
          </cell>
          <cell r="Z122">
            <v>0</v>
          </cell>
        </row>
        <row r="123">
          <cell r="C123" t="str">
            <v>2012505</v>
          </cell>
        </row>
        <row r="123">
          <cell r="V123">
            <v>470</v>
          </cell>
        </row>
        <row r="123">
          <cell r="Y123">
            <v>290</v>
          </cell>
        </row>
        <row r="124">
          <cell r="C124" t="str">
            <v>2012505</v>
          </cell>
        </row>
        <row r="124">
          <cell r="V124">
            <v>36</v>
          </cell>
        </row>
        <row r="124">
          <cell r="Y124">
            <v>36</v>
          </cell>
        </row>
        <row r="125">
          <cell r="C125" t="str">
            <v>2013402</v>
          </cell>
        </row>
        <row r="125">
          <cell r="V125">
            <v>20</v>
          </cell>
        </row>
        <row r="125">
          <cell r="Y125">
            <v>10.16087</v>
          </cell>
        </row>
        <row r="126">
          <cell r="C126" t="str">
            <v>2013402</v>
          </cell>
        </row>
        <row r="126">
          <cell r="V126">
            <v>20</v>
          </cell>
        </row>
        <row r="126">
          <cell r="Y126">
            <v>2.706454</v>
          </cell>
        </row>
        <row r="127">
          <cell r="C127" t="str">
            <v>2013402</v>
          </cell>
        </row>
        <row r="127">
          <cell r="V127">
            <v>1.12</v>
          </cell>
        </row>
        <row r="127">
          <cell r="Y127">
            <v>1.12</v>
          </cell>
        </row>
        <row r="128">
          <cell r="C128" t="str">
            <v>2013404</v>
          </cell>
        </row>
        <row r="128">
          <cell r="V128">
            <v>24</v>
          </cell>
        </row>
        <row r="128">
          <cell r="Y128">
            <v>12.60265</v>
          </cell>
        </row>
        <row r="129">
          <cell r="C129" t="str">
            <v>2013499</v>
          </cell>
        </row>
        <row r="129">
          <cell r="V129">
            <v>20</v>
          </cell>
        </row>
        <row r="129">
          <cell r="Y129">
            <v>0</v>
          </cell>
        </row>
        <row r="130">
          <cell r="C130" t="str">
            <v>2013499</v>
          </cell>
        </row>
        <row r="130">
          <cell r="V130">
            <v>2.481776</v>
          </cell>
        </row>
        <row r="130">
          <cell r="Y130">
            <v>0</v>
          </cell>
        </row>
        <row r="131">
          <cell r="V131">
            <v>442.48</v>
          </cell>
        </row>
        <row r="131">
          <cell r="Y131">
            <v>206.828282</v>
          </cell>
          <cell r="Z131">
            <v>0</v>
          </cell>
        </row>
        <row r="132">
          <cell r="C132" t="str">
            <v>2013702</v>
          </cell>
        </row>
        <row r="132">
          <cell r="V132">
            <v>120</v>
          </cell>
        </row>
        <row r="132">
          <cell r="Y132">
            <v>37.881173</v>
          </cell>
        </row>
        <row r="133">
          <cell r="C133" t="str">
            <v>2013702</v>
          </cell>
        </row>
        <row r="133">
          <cell r="V133">
            <v>1.26</v>
          </cell>
        </row>
        <row r="133">
          <cell r="Y133">
            <v>0</v>
          </cell>
        </row>
        <row r="134">
          <cell r="C134" t="str">
            <v>2013702</v>
          </cell>
        </row>
        <row r="134">
          <cell r="V134">
            <v>120</v>
          </cell>
        </row>
        <row r="134">
          <cell r="Y134">
            <v>38.34081</v>
          </cell>
        </row>
        <row r="135">
          <cell r="C135" t="str">
            <v>2013702</v>
          </cell>
        </row>
        <row r="135">
          <cell r="V135">
            <v>1.22</v>
          </cell>
        </row>
        <row r="135">
          <cell r="Y135">
            <v>1.22</v>
          </cell>
        </row>
        <row r="136">
          <cell r="C136" t="str">
            <v>2150899</v>
          </cell>
        </row>
        <row r="136">
          <cell r="V136">
            <v>200</v>
          </cell>
        </row>
        <row r="136">
          <cell r="Y136">
            <v>129.386299</v>
          </cell>
        </row>
        <row r="137">
          <cell r="V137">
            <v>10303.4</v>
          </cell>
        </row>
        <row r="137">
          <cell r="Y137">
            <v>8001.505447</v>
          </cell>
          <cell r="Z137">
            <v>0</v>
          </cell>
        </row>
        <row r="138">
          <cell r="C138" t="str">
            <v>2010302</v>
          </cell>
        </row>
        <row r="138">
          <cell r="V138">
            <v>18</v>
          </cell>
        </row>
        <row r="138">
          <cell r="Y138">
            <v>17.98</v>
          </cell>
        </row>
        <row r="139">
          <cell r="C139" t="str">
            <v>2010499</v>
          </cell>
        </row>
        <row r="139">
          <cell r="V139">
            <v>40</v>
          </cell>
        </row>
        <row r="139">
          <cell r="Y139">
            <v>40</v>
          </cell>
        </row>
        <row r="140">
          <cell r="C140" t="str">
            <v>2069901</v>
          </cell>
        </row>
        <row r="140">
          <cell r="V140">
            <v>1300</v>
          </cell>
        </row>
        <row r="140">
          <cell r="Y140">
            <v>1300</v>
          </cell>
        </row>
        <row r="141">
          <cell r="C141" t="str">
            <v>2150802</v>
          </cell>
        </row>
        <row r="141">
          <cell r="V141">
            <v>57.6</v>
          </cell>
        </row>
        <row r="141">
          <cell r="Y141">
            <v>57.6</v>
          </cell>
        </row>
        <row r="142">
          <cell r="C142" t="str">
            <v>2150802</v>
          </cell>
        </row>
        <row r="142">
          <cell r="V142">
            <v>2</v>
          </cell>
        </row>
        <row r="142">
          <cell r="Y142">
            <v>1.10935</v>
          </cell>
        </row>
        <row r="143">
          <cell r="C143" t="str">
            <v>2150802</v>
          </cell>
        </row>
        <row r="143">
          <cell r="V143">
            <v>8.78</v>
          </cell>
        </row>
        <row r="143">
          <cell r="Y143">
            <v>7.068082</v>
          </cell>
        </row>
        <row r="144">
          <cell r="C144" t="str">
            <v>2150802</v>
          </cell>
        </row>
        <row r="144">
          <cell r="V144">
            <v>67</v>
          </cell>
        </row>
        <row r="144">
          <cell r="Y144">
            <v>26.8</v>
          </cell>
        </row>
        <row r="145">
          <cell r="C145" t="str">
            <v>2150802</v>
          </cell>
        </row>
        <row r="145">
          <cell r="V145">
            <v>2.02</v>
          </cell>
        </row>
        <row r="145">
          <cell r="Y145">
            <v>2.02</v>
          </cell>
        </row>
        <row r="146">
          <cell r="C146" t="str">
            <v>2150899</v>
          </cell>
        </row>
        <row r="146">
          <cell r="V146">
            <v>80</v>
          </cell>
        </row>
        <row r="146">
          <cell r="Y146">
            <v>53.115548</v>
          </cell>
        </row>
        <row r="147">
          <cell r="C147" t="str">
            <v>2150899</v>
          </cell>
        </row>
        <row r="147">
          <cell r="V147">
            <v>8700</v>
          </cell>
        </row>
        <row r="147">
          <cell r="Y147">
            <v>6490.813267</v>
          </cell>
        </row>
        <row r="148">
          <cell r="C148" t="str">
            <v>2150899</v>
          </cell>
        </row>
        <row r="148">
          <cell r="V148">
            <v>28</v>
          </cell>
        </row>
        <row r="148">
          <cell r="Y148">
            <v>4.9992</v>
          </cell>
        </row>
        <row r="149">
          <cell r="V149">
            <v>383.2</v>
          </cell>
        </row>
        <row r="149">
          <cell r="Y149">
            <v>181.140873</v>
          </cell>
          <cell r="Z149">
            <v>0</v>
          </cell>
        </row>
        <row r="150">
          <cell r="C150" t="str">
            <v>2010502</v>
          </cell>
        </row>
        <row r="150">
          <cell r="V150">
            <v>1.2</v>
          </cell>
        </row>
        <row r="150">
          <cell r="Y150">
            <v>1.1</v>
          </cell>
        </row>
        <row r="151">
          <cell r="C151" t="str">
            <v>2010507</v>
          </cell>
        </row>
        <row r="151">
          <cell r="V151">
            <v>382</v>
          </cell>
        </row>
        <row r="151">
          <cell r="Y151">
            <v>180.040873</v>
          </cell>
        </row>
        <row r="152">
          <cell r="V152">
            <v>27.5</v>
          </cell>
        </row>
        <row r="152">
          <cell r="Y152">
            <v>8.3532</v>
          </cell>
          <cell r="Z152">
            <v>0</v>
          </cell>
        </row>
        <row r="153">
          <cell r="C153" t="str">
            <v>2010302</v>
          </cell>
        </row>
        <row r="153">
          <cell r="V153">
            <v>7.2</v>
          </cell>
        </row>
        <row r="153">
          <cell r="Y153">
            <v>4.9532</v>
          </cell>
        </row>
        <row r="154">
          <cell r="C154" t="str">
            <v>2010302</v>
          </cell>
        </row>
        <row r="154">
          <cell r="V154">
            <v>20</v>
          </cell>
        </row>
        <row r="154">
          <cell r="Y154">
            <v>3.1</v>
          </cell>
        </row>
        <row r="155">
          <cell r="C155" t="str">
            <v>2010302</v>
          </cell>
        </row>
        <row r="155">
          <cell r="V155">
            <v>0.3</v>
          </cell>
        </row>
        <row r="155">
          <cell r="Y155">
            <v>0.3</v>
          </cell>
        </row>
        <row r="156">
          <cell r="V156">
            <v>201.5</v>
          </cell>
        </row>
        <row r="156">
          <cell r="Y156">
            <v>41.968287</v>
          </cell>
          <cell r="Z156">
            <v>0</v>
          </cell>
        </row>
        <row r="157">
          <cell r="C157" t="str">
            <v>2040607</v>
          </cell>
        </row>
        <row r="157">
          <cell r="V157">
            <v>0</v>
          </cell>
        </row>
        <row r="157">
          <cell r="Y157">
            <v>0</v>
          </cell>
        </row>
        <row r="158">
          <cell r="C158" t="str">
            <v>2040607</v>
          </cell>
        </row>
        <row r="158">
          <cell r="V158">
            <v>33</v>
          </cell>
        </row>
        <row r="158">
          <cell r="Y158">
            <v>0</v>
          </cell>
        </row>
        <row r="159">
          <cell r="C159" t="str">
            <v>2040699</v>
          </cell>
        </row>
        <row r="159">
          <cell r="V159">
            <v>21</v>
          </cell>
        </row>
        <row r="159">
          <cell r="Y159">
            <v>14.390112</v>
          </cell>
        </row>
        <row r="160">
          <cell r="C160" t="str">
            <v>2040699</v>
          </cell>
        </row>
        <row r="160">
          <cell r="V160">
            <v>32</v>
          </cell>
        </row>
        <row r="160">
          <cell r="Y160">
            <v>9.2</v>
          </cell>
        </row>
        <row r="161">
          <cell r="C161" t="str">
            <v>2040699</v>
          </cell>
        </row>
        <row r="161">
          <cell r="V161">
            <v>10</v>
          </cell>
        </row>
        <row r="161">
          <cell r="Y161">
            <v>3.77145</v>
          </cell>
        </row>
        <row r="162">
          <cell r="C162" t="str">
            <v>2040699</v>
          </cell>
        </row>
        <row r="162">
          <cell r="V162">
            <v>69</v>
          </cell>
        </row>
        <row r="162">
          <cell r="Y162">
            <v>8.67325</v>
          </cell>
        </row>
        <row r="163">
          <cell r="C163" t="str">
            <v>2040699</v>
          </cell>
        </row>
        <row r="163">
          <cell r="V163">
            <v>0</v>
          </cell>
        </row>
        <row r="163">
          <cell r="Y163">
            <v>0</v>
          </cell>
        </row>
        <row r="164">
          <cell r="C164" t="str">
            <v>2040699</v>
          </cell>
        </row>
        <row r="164">
          <cell r="V164">
            <v>36.5</v>
          </cell>
        </row>
        <row r="164">
          <cell r="Y164">
            <v>5.933475</v>
          </cell>
        </row>
        <row r="165">
          <cell r="V165">
            <v>3616.0534</v>
          </cell>
        </row>
        <row r="165">
          <cell r="Y165">
            <v>1043.772411</v>
          </cell>
          <cell r="Z165">
            <v>0</v>
          </cell>
        </row>
        <row r="166">
          <cell r="C166" t="str">
            <v>2130102</v>
          </cell>
        </row>
        <row r="166">
          <cell r="V166">
            <v>3.8</v>
          </cell>
        </row>
        <row r="166">
          <cell r="Y166">
            <v>3.8</v>
          </cell>
        </row>
        <row r="167">
          <cell r="C167" t="str">
            <v>2130102</v>
          </cell>
        </row>
        <row r="167">
          <cell r="V167">
            <v>4.229</v>
          </cell>
        </row>
        <row r="167">
          <cell r="Y167">
            <v>3.996791</v>
          </cell>
        </row>
        <row r="168">
          <cell r="C168" t="str">
            <v>2130108</v>
          </cell>
        </row>
        <row r="168">
          <cell r="V168">
            <v>50</v>
          </cell>
        </row>
        <row r="168">
          <cell r="Y168">
            <v>27.9</v>
          </cell>
        </row>
        <row r="169">
          <cell r="C169" t="str">
            <v>2130120</v>
          </cell>
        </row>
        <row r="169">
          <cell r="V169">
            <v>0</v>
          </cell>
        </row>
        <row r="169">
          <cell r="Y169">
            <v>0</v>
          </cell>
        </row>
        <row r="170">
          <cell r="C170" t="str">
            <v>2130126</v>
          </cell>
        </row>
        <row r="170">
          <cell r="V170">
            <v>20</v>
          </cell>
        </row>
        <row r="170">
          <cell r="Y170">
            <v>2.5</v>
          </cell>
        </row>
        <row r="171">
          <cell r="C171" t="str">
            <v>2130135</v>
          </cell>
        </row>
        <row r="171">
          <cell r="V171">
            <v>234</v>
          </cell>
        </row>
        <row r="171">
          <cell r="Y171">
            <v>207.12</v>
          </cell>
        </row>
        <row r="172">
          <cell r="C172" t="str">
            <v>2130153</v>
          </cell>
        </row>
        <row r="172">
          <cell r="V172">
            <v>76</v>
          </cell>
        </row>
        <row r="172">
          <cell r="Y172">
            <v>0</v>
          </cell>
        </row>
        <row r="173">
          <cell r="C173" t="str">
            <v>2130153</v>
          </cell>
        </row>
        <row r="173">
          <cell r="V173">
            <v>18</v>
          </cell>
        </row>
        <row r="173">
          <cell r="Y173">
            <v>0</v>
          </cell>
        </row>
        <row r="174">
          <cell r="C174" t="str">
            <v>2130199</v>
          </cell>
        </row>
        <row r="174">
          <cell r="V174">
            <v>0</v>
          </cell>
        </row>
        <row r="174">
          <cell r="Y174">
            <v>0</v>
          </cell>
        </row>
        <row r="175">
          <cell r="C175" t="str">
            <v>2130199</v>
          </cell>
        </row>
        <row r="175">
          <cell r="V175">
            <v>11</v>
          </cell>
        </row>
        <row r="175">
          <cell r="Y175">
            <v>0</v>
          </cell>
        </row>
        <row r="176">
          <cell r="C176" t="str">
            <v>2130199</v>
          </cell>
        </row>
        <row r="176">
          <cell r="V176">
            <v>92</v>
          </cell>
        </row>
        <row r="176">
          <cell r="Y176">
            <v>54.689284</v>
          </cell>
        </row>
        <row r="177">
          <cell r="C177" t="str">
            <v>2130199</v>
          </cell>
        </row>
        <row r="177">
          <cell r="V177">
            <v>80</v>
          </cell>
        </row>
        <row r="177">
          <cell r="Y177">
            <v>26.7528</v>
          </cell>
        </row>
        <row r="178">
          <cell r="C178" t="str">
            <v>2130199</v>
          </cell>
        </row>
        <row r="178">
          <cell r="V178">
            <v>86.27</v>
          </cell>
        </row>
        <row r="178">
          <cell r="Y178">
            <v>0</v>
          </cell>
        </row>
        <row r="179">
          <cell r="C179" t="str">
            <v>2130199</v>
          </cell>
        </row>
        <row r="179">
          <cell r="V179">
            <v>120</v>
          </cell>
        </row>
        <row r="179">
          <cell r="Y179">
            <v>22.629662</v>
          </cell>
        </row>
        <row r="180">
          <cell r="C180" t="str">
            <v>2130199</v>
          </cell>
        </row>
        <row r="180">
          <cell r="V180">
            <v>200</v>
          </cell>
        </row>
        <row r="180">
          <cell r="Y180">
            <v>51</v>
          </cell>
        </row>
        <row r="181">
          <cell r="C181" t="str">
            <v>2130199</v>
          </cell>
        </row>
        <row r="181">
          <cell r="V181">
            <v>310</v>
          </cell>
        </row>
        <row r="181">
          <cell r="Y181">
            <v>0</v>
          </cell>
        </row>
        <row r="182">
          <cell r="C182" t="str">
            <v>2130209</v>
          </cell>
        </row>
        <row r="182">
          <cell r="V182">
            <v>7.7572</v>
          </cell>
        </row>
        <row r="182">
          <cell r="Y182">
            <v>7.7572</v>
          </cell>
        </row>
        <row r="183">
          <cell r="C183" t="str">
            <v>2130209</v>
          </cell>
        </row>
        <row r="183">
          <cell r="V183">
            <v>12.7</v>
          </cell>
        </row>
        <row r="183">
          <cell r="Y183">
            <v>2.7</v>
          </cell>
        </row>
        <row r="184">
          <cell r="C184" t="str">
            <v>2130223</v>
          </cell>
        </row>
        <row r="184">
          <cell r="V184">
            <v>20</v>
          </cell>
        </row>
        <row r="184">
          <cell r="Y184">
            <v>20</v>
          </cell>
        </row>
        <row r="185">
          <cell r="C185" t="str">
            <v>2130234</v>
          </cell>
        </row>
        <row r="185">
          <cell r="V185">
            <v>1</v>
          </cell>
        </row>
        <row r="185">
          <cell r="Y185">
            <v>0</v>
          </cell>
        </row>
        <row r="186">
          <cell r="C186" t="str">
            <v>2130234</v>
          </cell>
        </row>
        <row r="186">
          <cell r="V186">
            <v>2.5355</v>
          </cell>
        </row>
        <row r="186">
          <cell r="Y186">
            <v>0</v>
          </cell>
        </row>
        <row r="187">
          <cell r="C187" t="str">
            <v>2130299</v>
          </cell>
        </row>
        <row r="187">
          <cell r="V187">
            <v>3</v>
          </cell>
        </row>
        <row r="187">
          <cell r="Y187">
            <v>0</v>
          </cell>
        </row>
        <row r="188">
          <cell r="C188" t="str">
            <v>2130299</v>
          </cell>
        </row>
        <row r="188">
          <cell r="V188">
            <v>300</v>
          </cell>
        </row>
        <row r="188">
          <cell r="Y188">
            <v>58.16551</v>
          </cell>
        </row>
        <row r="189">
          <cell r="C189" t="str">
            <v>2130310</v>
          </cell>
        </row>
        <row r="189">
          <cell r="V189">
            <v>20.85</v>
          </cell>
        </row>
        <row r="189">
          <cell r="Y189">
            <v>20.85</v>
          </cell>
        </row>
        <row r="190">
          <cell r="C190" t="str">
            <v>2130314</v>
          </cell>
        </row>
        <row r="190">
          <cell r="V190">
            <v>16.8</v>
          </cell>
        </row>
        <row r="190">
          <cell r="Y190">
            <v>0</v>
          </cell>
        </row>
        <row r="191">
          <cell r="C191" t="str">
            <v>2130314</v>
          </cell>
        </row>
        <row r="191">
          <cell r="V191">
            <v>3</v>
          </cell>
        </row>
        <row r="191">
          <cell r="Y191">
            <v>3</v>
          </cell>
        </row>
        <row r="192">
          <cell r="C192" t="str">
            <v>2130316</v>
          </cell>
        </row>
        <row r="192">
          <cell r="V192">
            <v>10</v>
          </cell>
        </row>
        <row r="192">
          <cell r="Y192">
            <v>10</v>
          </cell>
        </row>
        <row r="193">
          <cell r="C193" t="str">
            <v>2130316</v>
          </cell>
        </row>
        <row r="193">
          <cell r="V193">
            <v>56</v>
          </cell>
        </row>
        <row r="193">
          <cell r="Y193">
            <v>1</v>
          </cell>
        </row>
        <row r="194">
          <cell r="C194" t="str">
            <v>2130399</v>
          </cell>
        </row>
        <row r="194">
          <cell r="V194">
            <v>59</v>
          </cell>
        </row>
        <row r="194">
          <cell r="Y194">
            <v>50</v>
          </cell>
        </row>
        <row r="195">
          <cell r="C195" t="str">
            <v>2130399</v>
          </cell>
        </row>
        <row r="195">
          <cell r="V195">
            <v>245</v>
          </cell>
        </row>
        <row r="195">
          <cell r="Y195">
            <v>176.253993</v>
          </cell>
        </row>
        <row r="196">
          <cell r="C196" t="str">
            <v>2130505</v>
          </cell>
        </row>
        <row r="196">
          <cell r="V196">
            <v>918</v>
          </cell>
        </row>
        <row r="196">
          <cell r="Y196">
            <v>0</v>
          </cell>
        </row>
        <row r="197">
          <cell r="C197" t="str">
            <v>2130599</v>
          </cell>
        </row>
        <row r="197">
          <cell r="V197">
            <v>350</v>
          </cell>
        </row>
        <row r="197">
          <cell r="Y197">
            <v>249.287571</v>
          </cell>
        </row>
        <row r="198">
          <cell r="C198" t="str">
            <v>2130599</v>
          </cell>
        </row>
        <row r="198">
          <cell r="V198">
            <v>208</v>
          </cell>
        </row>
        <row r="198">
          <cell r="Y198">
            <v>0</v>
          </cell>
        </row>
        <row r="199">
          <cell r="C199" t="str">
            <v>2130599</v>
          </cell>
        </row>
        <row r="199">
          <cell r="V199">
            <v>33.3696</v>
          </cell>
        </row>
        <row r="199">
          <cell r="Y199">
            <v>33.3696</v>
          </cell>
        </row>
        <row r="200">
          <cell r="C200" t="str">
            <v>2139999</v>
          </cell>
        </row>
        <row r="200">
          <cell r="V200">
            <v>5</v>
          </cell>
        </row>
        <row r="200">
          <cell r="Y200">
            <v>0</v>
          </cell>
        </row>
        <row r="201">
          <cell r="C201" t="str">
            <v>2240104</v>
          </cell>
        </row>
        <row r="201">
          <cell r="V201">
            <v>11</v>
          </cell>
        </row>
        <row r="201">
          <cell r="Y201">
            <v>11</v>
          </cell>
        </row>
        <row r="202">
          <cell r="C202" t="str">
            <v>2249999</v>
          </cell>
        </row>
        <row r="202">
          <cell r="V202">
            <v>27.7421</v>
          </cell>
        </row>
        <row r="202">
          <cell r="Y202">
            <v>0</v>
          </cell>
        </row>
        <row r="203">
          <cell r="V203">
            <v>7999.0843</v>
          </cell>
        </row>
        <row r="203">
          <cell r="Y203">
            <v>5261.733067</v>
          </cell>
          <cell r="Z203">
            <v>0</v>
          </cell>
        </row>
        <row r="204">
          <cell r="C204" t="str">
            <v>2080102</v>
          </cell>
        </row>
        <row r="204">
          <cell r="V204">
            <v>18.3</v>
          </cell>
        </row>
        <row r="204">
          <cell r="Y204">
            <v>13.681976</v>
          </cell>
        </row>
        <row r="205">
          <cell r="C205" t="str">
            <v>2080102</v>
          </cell>
        </row>
        <row r="205">
          <cell r="V205">
            <v>98</v>
          </cell>
        </row>
        <row r="205">
          <cell r="Y205">
            <v>72</v>
          </cell>
        </row>
        <row r="206">
          <cell r="C206" t="str">
            <v>2080102</v>
          </cell>
        </row>
        <row r="206">
          <cell r="V206">
            <v>2</v>
          </cell>
        </row>
        <row r="206">
          <cell r="Y206">
            <v>2</v>
          </cell>
        </row>
        <row r="207">
          <cell r="C207" t="str">
            <v>2080102</v>
          </cell>
        </row>
        <row r="207">
          <cell r="V207">
            <v>330</v>
          </cell>
        </row>
        <row r="207">
          <cell r="Y207">
            <v>203.640808</v>
          </cell>
        </row>
        <row r="208">
          <cell r="C208" t="str">
            <v>2080102</v>
          </cell>
        </row>
        <row r="208">
          <cell r="V208">
            <v>4.32</v>
          </cell>
        </row>
        <row r="208">
          <cell r="Y208">
            <v>4.32</v>
          </cell>
        </row>
        <row r="209">
          <cell r="C209" t="str">
            <v>2080199</v>
          </cell>
        </row>
        <row r="209">
          <cell r="V209">
            <v>18</v>
          </cell>
        </row>
        <row r="209">
          <cell r="Y209">
            <v>4.9906</v>
          </cell>
        </row>
        <row r="210">
          <cell r="C210" t="str">
            <v>2080199</v>
          </cell>
        </row>
        <row r="210">
          <cell r="V210">
            <v>3225</v>
          </cell>
        </row>
        <row r="210">
          <cell r="Y210">
            <v>2802.237286</v>
          </cell>
        </row>
        <row r="211">
          <cell r="C211" t="str">
            <v>2080199</v>
          </cell>
        </row>
        <row r="211">
          <cell r="V211">
            <v>24</v>
          </cell>
        </row>
        <row r="211">
          <cell r="Y211">
            <v>23.7</v>
          </cell>
        </row>
        <row r="212">
          <cell r="C212" t="str">
            <v>2080199</v>
          </cell>
        </row>
        <row r="212">
          <cell r="V212">
            <v>10</v>
          </cell>
        </row>
        <row r="212">
          <cell r="Y212">
            <v>0</v>
          </cell>
        </row>
        <row r="213">
          <cell r="C213" t="str">
            <v>2080199</v>
          </cell>
        </row>
        <row r="213">
          <cell r="V213">
            <v>52.3</v>
          </cell>
        </row>
        <row r="213">
          <cell r="Y213">
            <v>52.3</v>
          </cell>
        </row>
        <row r="214">
          <cell r="C214" t="str">
            <v>2080507</v>
          </cell>
        </row>
        <row r="214">
          <cell r="V214">
            <v>0</v>
          </cell>
        </row>
        <row r="214">
          <cell r="Y214">
            <v>0</v>
          </cell>
        </row>
        <row r="215">
          <cell r="C215" t="str">
            <v>2080507</v>
          </cell>
        </row>
        <row r="215">
          <cell r="V215">
            <v>0</v>
          </cell>
        </row>
        <row r="215">
          <cell r="Y215">
            <v>0</v>
          </cell>
        </row>
        <row r="216">
          <cell r="C216" t="str">
            <v>2080701</v>
          </cell>
        </row>
        <row r="216">
          <cell r="V216">
            <v>500</v>
          </cell>
        </row>
        <row r="216">
          <cell r="Y216">
            <v>34.65</v>
          </cell>
        </row>
        <row r="217">
          <cell r="C217" t="str">
            <v>2080799</v>
          </cell>
        </row>
        <row r="217">
          <cell r="V217">
            <v>669.27</v>
          </cell>
        </row>
        <row r="217">
          <cell r="Y217">
            <v>160.2422</v>
          </cell>
        </row>
        <row r="218">
          <cell r="C218" t="str">
            <v>2080799</v>
          </cell>
        </row>
        <row r="218">
          <cell r="V218">
            <v>1262</v>
          </cell>
        </row>
        <row r="218">
          <cell r="Y218">
            <v>1039.6982</v>
          </cell>
        </row>
        <row r="219">
          <cell r="C219" t="str">
            <v>2080799</v>
          </cell>
        </row>
        <row r="219">
          <cell r="V219">
            <v>647</v>
          </cell>
        </row>
        <row r="219">
          <cell r="Y219">
            <v>0</v>
          </cell>
        </row>
        <row r="220">
          <cell r="C220" t="str">
            <v>2082602</v>
          </cell>
        </row>
        <row r="220">
          <cell r="V220">
            <v>195.1943</v>
          </cell>
        </row>
        <row r="220">
          <cell r="Y220">
            <v>195.1943</v>
          </cell>
        </row>
        <row r="221">
          <cell r="C221" t="str">
            <v>2082602</v>
          </cell>
        </row>
        <row r="221">
          <cell r="V221">
            <v>830</v>
          </cell>
        </row>
        <row r="221">
          <cell r="Y221">
            <v>535.508</v>
          </cell>
        </row>
        <row r="222">
          <cell r="C222" t="str">
            <v>2083099</v>
          </cell>
        </row>
        <row r="222">
          <cell r="V222">
            <v>56</v>
          </cell>
        </row>
        <row r="222">
          <cell r="Y222">
            <v>49.26</v>
          </cell>
        </row>
        <row r="223">
          <cell r="C223" t="str">
            <v>2130152</v>
          </cell>
        </row>
        <row r="223">
          <cell r="V223">
            <v>57.7</v>
          </cell>
        </row>
        <row r="223">
          <cell r="Y223">
            <v>53.700321</v>
          </cell>
        </row>
        <row r="224">
          <cell r="C224" t="str">
            <v>2130152</v>
          </cell>
        </row>
        <row r="224">
          <cell r="V224">
            <v>0</v>
          </cell>
        </row>
        <row r="224">
          <cell r="Y224">
            <v>14.609376</v>
          </cell>
        </row>
        <row r="225">
          <cell r="V225">
            <v>6078.57</v>
          </cell>
        </row>
        <row r="225">
          <cell r="Y225">
            <v>4762.251363</v>
          </cell>
          <cell r="Z225">
            <v>0</v>
          </cell>
        </row>
        <row r="226">
          <cell r="C226" t="str">
            <v>2080202</v>
          </cell>
        </row>
        <row r="226">
          <cell r="V226">
            <v>2</v>
          </cell>
        </row>
        <row r="226">
          <cell r="Y226">
            <v>1.149</v>
          </cell>
        </row>
        <row r="227">
          <cell r="C227" t="str">
            <v>2080202</v>
          </cell>
        </row>
        <row r="227">
          <cell r="V227">
            <v>139</v>
          </cell>
        </row>
        <row r="227">
          <cell r="Y227">
            <v>88.933013</v>
          </cell>
        </row>
        <row r="228">
          <cell r="C228" t="str">
            <v>2080202</v>
          </cell>
        </row>
        <row r="228">
          <cell r="V228">
            <v>3</v>
          </cell>
        </row>
        <row r="228">
          <cell r="Y228">
            <v>3</v>
          </cell>
        </row>
        <row r="229">
          <cell r="C229" t="str">
            <v>2080208</v>
          </cell>
        </row>
        <row r="229">
          <cell r="V229">
            <v>14</v>
          </cell>
        </row>
        <row r="229">
          <cell r="Y229">
            <v>14</v>
          </cell>
        </row>
        <row r="230">
          <cell r="C230" t="str">
            <v>2081002</v>
          </cell>
        </row>
        <row r="230">
          <cell r="V230">
            <v>15</v>
          </cell>
        </row>
        <row r="230">
          <cell r="Y230">
            <v>4.22425</v>
          </cell>
        </row>
        <row r="231">
          <cell r="C231" t="str">
            <v>2081002</v>
          </cell>
        </row>
        <row r="231">
          <cell r="V231">
            <v>200</v>
          </cell>
        </row>
        <row r="231">
          <cell r="Y231">
            <v>200</v>
          </cell>
        </row>
        <row r="232">
          <cell r="C232" t="str">
            <v>2081002</v>
          </cell>
        </row>
        <row r="232">
          <cell r="V232">
            <v>340</v>
          </cell>
        </row>
        <row r="232">
          <cell r="Y232">
            <v>0</v>
          </cell>
        </row>
        <row r="233">
          <cell r="C233" t="str">
            <v>2081002</v>
          </cell>
        </row>
        <row r="233">
          <cell r="V233">
            <v>90</v>
          </cell>
        </row>
        <row r="233">
          <cell r="Y233">
            <v>90</v>
          </cell>
        </row>
        <row r="234">
          <cell r="C234" t="str">
            <v>2081006</v>
          </cell>
        </row>
        <row r="234">
          <cell r="V234">
            <v>50</v>
          </cell>
        </row>
        <row r="234">
          <cell r="Y234">
            <v>13</v>
          </cell>
        </row>
        <row r="235">
          <cell r="C235" t="str">
            <v>2081006</v>
          </cell>
        </row>
        <row r="235">
          <cell r="V235">
            <v>145</v>
          </cell>
        </row>
        <row r="235">
          <cell r="Y235">
            <v>109.4125</v>
          </cell>
        </row>
        <row r="236">
          <cell r="C236" t="str">
            <v>2081006</v>
          </cell>
        </row>
        <row r="236">
          <cell r="V236">
            <v>9.17</v>
          </cell>
        </row>
        <row r="236">
          <cell r="Y236">
            <v>9.17</v>
          </cell>
        </row>
        <row r="237">
          <cell r="C237" t="str">
            <v>2081099</v>
          </cell>
        </row>
        <row r="237">
          <cell r="V237">
            <v>342.9985</v>
          </cell>
        </row>
        <row r="237">
          <cell r="Y237">
            <v>342.9985</v>
          </cell>
        </row>
        <row r="238">
          <cell r="C238" t="str">
            <v>2081099</v>
          </cell>
        </row>
        <row r="238">
          <cell r="V238">
            <v>0</v>
          </cell>
        </row>
        <row r="238">
          <cell r="Y238">
            <v>0</v>
          </cell>
        </row>
        <row r="239">
          <cell r="C239" t="str">
            <v>2081107</v>
          </cell>
        </row>
        <row r="239">
          <cell r="V239">
            <v>183.3</v>
          </cell>
        </row>
        <row r="239">
          <cell r="Y239">
            <v>136.739</v>
          </cell>
        </row>
        <row r="240">
          <cell r="C240" t="str">
            <v>2081902</v>
          </cell>
        </row>
        <row r="240">
          <cell r="V240">
            <v>1931</v>
          </cell>
        </row>
        <row r="240">
          <cell r="Y240">
            <v>1931</v>
          </cell>
        </row>
        <row r="241">
          <cell r="C241" t="str">
            <v>2081902</v>
          </cell>
        </row>
        <row r="241">
          <cell r="V241">
            <v>1304.0015</v>
          </cell>
        </row>
        <row r="241">
          <cell r="Y241">
            <v>641.8287</v>
          </cell>
        </row>
        <row r="242">
          <cell r="C242" t="str">
            <v>2081902</v>
          </cell>
        </row>
        <row r="242">
          <cell r="V242">
            <v>803.6</v>
          </cell>
        </row>
        <row r="242">
          <cell r="Y242">
            <v>718.2964</v>
          </cell>
        </row>
        <row r="243">
          <cell r="C243" t="str">
            <v>2082502</v>
          </cell>
        </row>
        <row r="243">
          <cell r="V243">
            <v>5.5</v>
          </cell>
        </row>
        <row r="243">
          <cell r="Y243">
            <v>2.5</v>
          </cell>
        </row>
        <row r="244">
          <cell r="C244" t="str">
            <v>2089999</v>
          </cell>
        </row>
        <row r="244">
          <cell r="V244">
            <v>45</v>
          </cell>
        </row>
        <row r="244">
          <cell r="Y244">
            <v>0</v>
          </cell>
        </row>
        <row r="245">
          <cell r="C245" t="str">
            <v>2101301</v>
          </cell>
        </row>
        <row r="245">
          <cell r="V245">
            <v>0</v>
          </cell>
        </row>
        <row r="245">
          <cell r="Y245">
            <v>0</v>
          </cell>
        </row>
        <row r="246">
          <cell r="C246" t="str">
            <v>2130599</v>
          </cell>
        </row>
        <row r="246">
          <cell r="V246">
            <v>456</v>
          </cell>
        </row>
        <row r="246">
          <cell r="Y246">
            <v>456</v>
          </cell>
        </row>
        <row r="247">
          <cell r="V247">
            <v>630.352306</v>
          </cell>
        </row>
        <row r="247">
          <cell r="Y247">
            <v>277.013662</v>
          </cell>
          <cell r="Z247">
            <v>0</v>
          </cell>
        </row>
        <row r="248">
          <cell r="C248" t="str">
            <v>2081102</v>
          </cell>
        </row>
        <row r="248">
          <cell r="V248">
            <v>17</v>
          </cell>
        </row>
        <row r="248">
          <cell r="Y248">
            <v>7.063652</v>
          </cell>
        </row>
        <row r="249">
          <cell r="C249" t="str">
            <v>2081102</v>
          </cell>
        </row>
        <row r="249">
          <cell r="V249">
            <v>0.5</v>
          </cell>
        </row>
        <row r="249">
          <cell r="Y249">
            <v>0.5</v>
          </cell>
        </row>
        <row r="250">
          <cell r="C250" t="str">
            <v>2081104</v>
          </cell>
        </row>
        <row r="250">
          <cell r="V250">
            <v>5</v>
          </cell>
        </row>
        <row r="250">
          <cell r="Y250">
            <v>5</v>
          </cell>
        </row>
        <row r="251">
          <cell r="C251" t="str">
            <v>2081104</v>
          </cell>
        </row>
        <row r="251">
          <cell r="V251">
            <v>3</v>
          </cell>
        </row>
        <row r="251">
          <cell r="Y251">
            <v>3</v>
          </cell>
        </row>
        <row r="252">
          <cell r="C252" t="str">
            <v>2081104</v>
          </cell>
        </row>
        <row r="252">
          <cell r="V252">
            <v>34.3637</v>
          </cell>
        </row>
        <row r="252">
          <cell r="Y252">
            <v>34.3637</v>
          </cell>
        </row>
        <row r="253">
          <cell r="C253" t="str">
            <v>2081104</v>
          </cell>
        </row>
        <row r="253">
          <cell r="V253">
            <v>88</v>
          </cell>
        </row>
        <row r="253">
          <cell r="Y253">
            <v>82.9</v>
          </cell>
        </row>
        <row r="254">
          <cell r="C254" t="str">
            <v>2081104</v>
          </cell>
        </row>
        <row r="254">
          <cell r="V254">
            <v>1</v>
          </cell>
        </row>
        <row r="254">
          <cell r="Y254">
            <v>0</v>
          </cell>
        </row>
        <row r="255">
          <cell r="C255" t="str">
            <v>2081104</v>
          </cell>
        </row>
        <row r="255">
          <cell r="V255">
            <v>16</v>
          </cell>
        </row>
        <row r="255">
          <cell r="Y255">
            <v>0</v>
          </cell>
        </row>
        <row r="256">
          <cell r="C256" t="str">
            <v>2081199</v>
          </cell>
        </row>
        <row r="256">
          <cell r="V256">
            <v>0.41</v>
          </cell>
        </row>
        <row r="256">
          <cell r="Y256">
            <v>0.41</v>
          </cell>
        </row>
        <row r="257">
          <cell r="C257" t="str">
            <v>2081199</v>
          </cell>
        </row>
        <row r="257">
          <cell r="V257">
            <v>15.61</v>
          </cell>
        </row>
        <row r="257">
          <cell r="Y257">
            <v>3.8267</v>
          </cell>
        </row>
        <row r="258">
          <cell r="C258" t="str">
            <v>2081199</v>
          </cell>
        </row>
        <row r="258">
          <cell r="V258">
            <v>4.660688</v>
          </cell>
        </row>
        <row r="258">
          <cell r="Y258">
            <v>4.536688</v>
          </cell>
        </row>
        <row r="259">
          <cell r="C259" t="str">
            <v>2081199</v>
          </cell>
        </row>
        <row r="259">
          <cell r="V259">
            <v>36.4</v>
          </cell>
        </row>
        <row r="259">
          <cell r="Y259">
            <v>2.99</v>
          </cell>
        </row>
        <row r="260">
          <cell r="C260" t="str">
            <v>2081199</v>
          </cell>
        </row>
        <row r="260">
          <cell r="V260">
            <v>12.491305</v>
          </cell>
        </row>
        <row r="260">
          <cell r="Y260">
            <v>12.491305</v>
          </cell>
        </row>
        <row r="261">
          <cell r="C261" t="str">
            <v>2081199</v>
          </cell>
        </row>
        <row r="261">
          <cell r="V261">
            <v>44.366613</v>
          </cell>
        </row>
        <row r="261">
          <cell r="Y261">
            <v>44.366613</v>
          </cell>
        </row>
        <row r="262">
          <cell r="C262" t="str">
            <v>2081199</v>
          </cell>
        </row>
        <row r="262">
          <cell r="V262">
            <v>20.25</v>
          </cell>
        </row>
        <row r="262">
          <cell r="Y262">
            <v>20.2185</v>
          </cell>
        </row>
        <row r="263">
          <cell r="C263" t="str">
            <v>2081199</v>
          </cell>
        </row>
        <row r="263">
          <cell r="V263">
            <v>90</v>
          </cell>
        </row>
        <row r="263">
          <cell r="Y263">
            <v>3.508171</v>
          </cell>
        </row>
        <row r="264">
          <cell r="C264" t="str">
            <v>2081199</v>
          </cell>
        </row>
        <row r="264">
          <cell r="V264">
            <v>218</v>
          </cell>
        </row>
        <row r="264">
          <cell r="Y264">
            <v>51.838333</v>
          </cell>
        </row>
        <row r="265">
          <cell r="C265" t="str">
            <v>2081199</v>
          </cell>
        </row>
        <row r="265">
          <cell r="V265">
            <v>13.3</v>
          </cell>
        </row>
        <row r="265">
          <cell r="Y265">
            <v>0</v>
          </cell>
        </row>
        <row r="266">
          <cell r="C266" t="str">
            <v>2081199</v>
          </cell>
        </row>
        <row r="266">
          <cell r="V266">
            <v>10</v>
          </cell>
        </row>
        <row r="266">
          <cell r="Y266">
            <v>0</v>
          </cell>
        </row>
        <row r="267">
          <cell r="V267">
            <v>1268.736</v>
          </cell>
        </row>
        <row r="267">
          <cell r="Y267">
            <v>743.10256</v>
          </cell>
          <cell r="Z267">
            <v>0</v>
          </cell>
        </row>
        <row r="268">
          <cell r="C268" t="str">
            <v>2080802</v>
          </cell>
        </row>
        <row r="268">
          <cell r="V268">
            <v>130</v>
          </cell>
        </row>
        <row r="268">
          <cell r="Y268">
            <v>28.2444</v>
          </cell>
        </row>
        <row r="269">
          <cell r="C269" t="str">
            <v>2080805</v>
          </cell>
        </row>
        <row r="269">
          <cell r="V269">
            <v>51</v>
          </cell>
        </row>
        <row r="269">
          <cell r="Y269">
            <v>51</v>
          </cell>
        </row>
        <row r="270">
          <cell r="C270" t="str">
            <v>2080805</v>
          </cell>
        </row>
        <row r="270">
          <cell r="V270">
            <v>42.7532</v>
          </cell>
        </row>
        <row r="270">
          <cell r="Y270">
            <v>42.7532</v>
          </cell>
        </row>
        <row r="271">
          <cell r="C271" t="str">
            <v>2080805</v>
          </cell>
        </row>
        <row r="271">
          <cell r="V271">
            <v>150</v>
          </cell>
        </row>
        <row r="271">
          <cell r="Y271">
            <v>30</v>
          </cell>
        </row>
        <row r="272">
          <cell r="C272" t="str">
            <v>2080805</v>
          </cell>
        </row>
        <row r="272">
          <cell r="V272">
            <v>55</v>
          </cell>
        </row>
        <row r="272">
          <cell r="Y272">
            <v>0</v>
          </cell>
        </row>
        <row r="273">
          <cell r="C273" t="str">
            <v>2080805</v>
          </cell>
        </row>
        <row r="273">
          <cell r="V273">
            <v>81</v>
          </cell>
        </row>
        <row r="273">
          <cell r="Y273">
            <v>37.40148</v>
          </cell>
        </row>
        <row r="274">
          <cell r="C274" t="str">
            <v>2080899</v>
          </cell>
        </row>
        <row r="274">
          <cell r="V274">
            <v>39</v>
          </cell>
        </row>
        <row r="274">
          <cell r="Y274">
            <v>39</v>
          </cell>
        </row>
        <row r="275">
          <cell r="C275" t="str">
            <v>2080899</v>
          </cell>
        </row>
        <row r="275">
          <cell r="V275">
            <v>9</v>
          </cell>
        </row>
        <row r="275">
          <cell r="Y275">
            <v>9</v>
          </cell>
        </row>
        <row r="276">
          <cell r="C276" t="str">
            <v>2080899</v>
          </cell>
        </row>
        <row r="276">
          <cell r="V276">
            <v>34</v>
          </cell>
        </row>
        <row r="276">
          <cell r="Y276">
            <v>0</v>
          </cell>
        </row>
        <row r="277">
          <cell r="C277" t="str">
            <v>2080899</v>
          </cell>
        </row>
        <row r="277">
          <cell r="V277">
            <v>432</v>
          </cell>
        </row>
        <row r="277">
          <cell r="Y277">
            <v>343.7595</v>
          </cell>
        </row>
        <row r="278">
          <cell r="C278" t="str">
            <v>2080901</v>
          </cell>
        </row>
        <row r="278">
          <cell r="V278">
            <v>9</v>
          </cell>
        </row>
        <row r="278">
          <cell r="Y278">
            <v>8.06</v>
          </cell>
        </row>
        <row r="279">
          <cell r="C279" t="str">
            <v>2080901</v>
          </cell>
        </row>
        <row r="279">
          <cell r="V279">
            <v>47</v>
          </cell>
        </row>
        <row r="279">
          <cell r="Y279">
            <v>47</v>
          </cell>
        </row>
        <row r="280">
          <cell r="C280" t="str">
            <v>2080905</v>
          </cell>
        </row>
        <row r="280">
          <cell r="V280">
            <v>5.4</v>
          </cell>
        </row>
        <row r="280">
          <cell r="Y280">
            <v>1.764</v>
          </cell>
        </row>
        <row r="281">
          <cell r="C281" t="str">
            <v>2082802</v>
          </cell>
        </row>
        <row r="281">
          <cell r="V281">
            <v>27</v>
          </cell>
        </row>
        <row r="281">
          <cell r="Y281">
            <v>8.7522</v>
          </cell>
        </row>
        <row r="282">
          <cell r="C282" t="str">
            <v>2082802</v>
          </cell>
        </row>
        <row r="282">
          <cell r="V282">
            <v>1</v>
          </cell>
        </row>
        <row r="282">
          <cell r="Y282">
            <v>1</v>
          </cell>
        </row>
        <row r="283">
          <cell r="C283" t="str">
            <v>2082804</v>
          </cell>
        </row>
        <row r="283">
          <cell r="V283">
            <v>35</v>
          </cell>
        </row>
        <row r="283">
          <cell r="Y283">
            <v>17.48</v>
          </cell>
        </row>
        <row r="284">
          <cell r="C284" t="str">
            <v>2082804</v>
          </cell>
        </row>
        <row r="284">
          <cell r="V284">
            <v>60</v>
          </cell>
        </row>
        <row r="284">
          <cell r="Y284">
            <v>52.42718</v>
          </cell>
        </row>
        <row r="285">
          <cell r="C285" t="str">
            <v>2082899</v>
          </cell>
        </row>
        <row r="285">
          <cell r="V285">
            <v>23</v>
          </cell>
        </row>
        <row r="285">
          <cell r="Y285">
            <v>8</v>
          </cell>
        </row>
        <row r="286">
          <cell r="C286" t="str">
            <v>2101399</v>
          </cell>
        </row>
        <row r="286">
          <cell r="V286">
            <v>14</v>
          </cell>
        </row>
        <row r="286">
          <cell r="Y286">
            <v>13.9356</v>
          </cell>
        </row>
        <row r="287">
          <cell r="C287" t="str">
            <v>2101401</v>
          </cell>
        </row>
        <row r="287">
          <cell r="V287">
            <v>2.7629</v>
          </cell>
        </row>
        <row r="287">
          <cell r="Y287">
            <v>2.7629</v>
          </cell>
        </row>
        <row r="288">
          <cell r="C288" t="str">
            <v>2101401</v>
          </cell>
        </row>
        <row r="288">
          <cell r="V288">
            <v>0.8199</v>
          </cell>
        </row>
        <row r="288">
          <cell r="Y288">
            <v>0.7621</v>
          </cell>
        </row>
        <row r="289">
          <cell r="C289" t="str">
            <v>2101401</v>
          </cell>
        </row>
        <row r="289">
          <cell r="V289">
            <v>0</v>
          </cell>
        </row>
        <row r="289">
          <cell r="Y289">
            <v>0</v>
          </cell>
        </row>
        <row r="290">
          <cell r="C290" t="str">
            <v>2101401</v>
          </cell>
        </row>
        <row r="290">
          <cell r="V290">
            <v>20</v>
          </cell>
        </row>
        <row r="290">
          <cell r="Y290">
            <v>0</v>
          </cell>
        </row>
        <row r="291">
          <cell r="C291" t="str">
            <v>2082802</v>
          </cell>
        </row>
        <row r="291">
          <cell r="V291">
            <v>0</v>
          </cell>
        </row>
        <row r="291">
          <cell r="Y291">
            <v>0</v>
          </cell>
        </row>
        <row r="292">
          <cell r="V292">
            <v>1824.823</v>
          </cell>
        </row>
        <row r="292">
          <cell r="Y292">
            <v>962.133465</v>
          </cell>
          <cell r="Z292">
            <v>0</v>
          </cell>
        </row>
        <row r="293">
          <cell r="C293" t="str">
            <v>2069999</v>
          </cell>
        </row>
        <row r="293">
          <cell r="V293">
            <v>1</v>
          </cell>
        </row>
        <row r="293">
          <cell r="Y293">
            <v>0</v>
          </cell>
        </row>
        <row r="294">
          <cell r="C294" t="str">
            <v>2100102</v>
          </cell>
        </row>
        <row r="294">
          <cell r="V294">
            <v>1</v>
          </cell>
        </row>
        <row r="294">
          <cell r="Y294">
            <v>0</v>
          </cell>
        </row>
        <row r="295">
          <cell r="C295" t="str">
            <v>2100102</v>
          </cell>
        </row>
        <row r="295">
          <cell r="V295">
            <v>1</v>
          </cell>
        </row>
        <row r="295">
          <cell r="Y295">
            <v>0.6586</v>
          </cell>
        </row>
        <row r="296">
          <cell r="C296" t="str">
            <v>2100102</v>
          </cell>
        </row>
        <row r="296">
          <cell r="V296">
            <v>2</v>
          </cell>
        </row>
        <row r="296">
          <cell r="Y296">
            <v>2</v>
          </cell>
        </row>
        <row r="297">
          <cell r="C297" t="str">
            <v>2100102</v>
          </cell>
        </row>
        <row r="297">
          <cell r="V297">
            <v>144</v>
          </cell>
        </row>
        <row r="297">
          <cell r="Y297">
            <v>78.256154</v>
          </cell>
        </row>
        <row r="298">
          <cell r="C298" t="str">
            <v>2100102</v>
          </cell>
        </row>
        <row r="298">
          <cell r="V298">
            <v>10</v>
          </cell>
        </row>
        <row r="298">
          <cell r="Y298">
            <v>2.899923</v>
          </cell>
        </row>
        <row r="299">
          <cell r="C299" t="str">
            <v>2100102</v>
          </cell>
        </row>
        <row r="299">
          <cell r="V299">
            <v>2.1</v>
          </cell>
        </row>
        <row r="299">
          <cell r="Y299">
            <v>2.1</v>
          </cell>
        </row>
        <row r="300">
          <cell r="C300" t="str">
            <v>2100199</v>
          </cell>
        </row>
        <row r="300">
          <cell r="V300">
            <v>124.69</v>
          </cell>
        </row>
        <row r="300">
          <cell r="Y300">
            <v>124.693687</v>
          </cell>
        </row>
        <row r="301">
          <cell r="C301" t="str">
            <v>2100199</v>
          </cell>
        </row>
        <row r="301">
          <cell r="V301">
            <v>5</v>
          </cell>
        </row>
        <row r="301">
          <cell r="Y301">
            <v>5</v>
          </cell>
        </row>
        <row r="302">
          <cell r="C302" t="str">
            <v>2100399</v>
          </cell>
        </row>
        <row r="302">
          <cell r="V302">
            <v>89.69</v>
          </cell>
        </row>
        <row r="302">
          <cell r="Y302">
            <v>89.6905</v>
          </cell>
        </row>
        <row r="303">
          <cell r="C303" t="str">
            <v>2100399</v>
          </cell>
        </row>
        <row r="303">
          <cell r="V303">
            <v>105.5</v>
          </cell>
        </row>
        <row r="303">
          <cell r="Y303">
            <v>96.3646</v>
          </cell>
        </row>
        <row r="304">
          <cell r="C304" t="str">
            <v>2100399</v>
          </cell>
        </row>
        <row r="304">
          <cell r="V304">
            <v>25.5</v>
          </cell>
        </row>
        <row r="304">
          <cell r="Y304">
            <v>25.5</v>
          </cell>
        </row>
        <row r="305">
          <cell r="C305" t="str">
            <v>2100408</v>
          </cell>
        </row>
        <row r="305">
          <cell r="V305">
            <v>183.12</v>
          </cell>
        </row>
        <row r="305">
          <cell r="Y305">
            <v>175.614</v>
          </cell>
        </row>
        <row r="306">
          <cell r="C306" t="str">
            <v>2100408</v>
          </cell>
        </row>
        <row r="306">
          <cell r="V306">
            <v>18.733</v>
          </cell>
        </row>
        <row r="306">
          <cell r="Y306">
            <v>18.733</v>
          </cell>
        </row>
        <row r="307">
          <cell r="C307" t="str">
            <v>2100408</v>
          </cell>
        </row>
        <row r="307">
          <cell r="V307">
            <v>89</v>
          </cell>
        </row>
        <row r="307">
          <cell r="Y307">
            <v>0</v>
          </cell>
        </row>
        <row r="308">
          <cell r="C308" t="str">
            <v>2100408</v>
          </cell>
        </row>
        <row r="308">
          <cell r="V308">
            <v>0</v>
          </cell>
        </row>
        <row r="308">
          <cell r="Y308">
            <v>0</v>
          </cell>
        </row>
        <row r="309">
          <cell r="C309" t="str">
            <v>2100409</v>
          </cell>
        </row>
        <row r="309">
          <cell r="V309">
            <v>42.39</v>
          </cell>
        </row>
        <row r="309">
          <cell r="Y309">
            <v>13.5</v>
          </cell>
        </row>
        <row r="310">
          <cell r="C310" t="str">
            <v>2100409</v>
          </cell>
        </row>
        <row r="310">
          <cell r="V310">
            <v>0.34</v>
          </cell>
        </row>
        <row r="310">
          <cell r="Y310">
            <v>0.339</v>
          </cell>
        </row>
        <row r="311">
          <cell r="C311" t="str">
            <v>2100410</v>
          </cell>
        </row>
        <row r="311">
          <cell r="V311">
            <v>587.31</v>
          </cell>
        </row>
        <row r="311">
          <cell r="Y311">
            <v>97.433184</v>
          </cell>
        </row>
        <row r="312">
          <cell r="C312" t="str">
            <v>2100499</v>
          </cell>
        </row>
        <row r="312">
          <cell r="V312">
            <v>0</v>
          </cell>
        </row>
        <row r="312">
          <cell r="Y312">
            <v>0</v>
          </cell>
        </row>
        <row r="313">
          <cell r="C313" t="str">
            <v>2100717</v>
          </cell>
        </row>
        <row r="313">
          <cell r="V313">
            <v>266.45</v>
          </cell>
        </row>
        <row r="313">
          <cell r="Y313">
            <v>150.350817</v>
          </cell>
        </row>
        <row r="314">
          <cell r="C314" t="str">
            <v>2100717</v>
          </cell>
        </row>
        <row r="314">
          <cell r="V314">
            <v>79</v>
          </cell>
        </row>
        <row r="314">
          <cell r="Y314">
            <v>79</v>
          </cell>
        </row>
        <row r="315">
          <cell r="C315" t="str">
            <v>2100717</v>
          </cell>
        </row>
        <row r="315">
          <cell r="V315">
            <v>26</v>
          </cell>
        </row>
        <row r="315">
          <cell r="Y315">
            <v>0</v>
          </cell>
        </row>
        <row r="316">
          <cell r="C316" t="str">
            <v>2100799</v>
          </cell>
        </row>
        <row r="316">
          <cell r="V316">
            <v>1</v>
          </cell>
        </row>
        <row r="316">
          <cell r="Y316">
            <v>0</v>
          </cell>
        </row>
        <row r="317">
          <cell r="C317" t="str">
            <v>2100799</v>
          </cell>
        </row>
        <row r="317">
          <cell r="V317">
            <v>0</v>
          </cell>
        </row>
        <row r="317">
          <cell r="Y317">
            <v>0</v>
          </cell>
        </row>
        <row r="318">
          <cell r="C318" t="str">
            <v>2100102</v>
          </cell>
        </row>
        <row r="318">
          <cell r="V318">
            <v>20</v>
          </cell>
        </row>
        <row r="318">
          <cell r="Y318">
            <v>0</v>
          </cell>
        </row>
        <row r="319">
          <cell r="V319">
            <v>143.32</v>
          </cell>
        </row>
        <row r="319">
          <cell r="Y319">
            <v>123.422835</v>
          </cell>
          <cell r="Z319">
            <v>0</v>
          </cell>
        </row>
        <row r="320">
          <cell r="C320" t="str">
            <v>2100302</v>
          </cell>
        </row>
        <row r="320">
          <cell r="V320">
            <v>79</v>
          </cell>
        </row>
        <row r="320">
          <cell r="Y320">
            <v>75.662835</v>
          </cell>
        </row>
        <row r="321">
          <cell r="C321" t="str">
            <v>2100302</v>
          </cell>
        </row>
        <row r="321">
          <cell r="V321">
            <v>1</v>
          </cell>
        </row>
        <row r="321">
          <cell r="Y321">
            <v>0</v>
          </cell>
        </row>
        <row r="322">
          <cell r="C322" t="str">
            <v>2100302</v>
          </cell>
        </row>
        <row r="322">
          <cell r="V322">
            <v>6.76</v>
          </cell>
        </row>
        <row r="322">
          <cell r="Y322">
            <v>6.76</v>
          </cell>
        </row>
        <row r="323">
          <cell r="C323" t="str">
            <v>2100302</v>
          </cell>
        </row>
        <row r="323">
          <cell r="V323">
            <v>0</v>
          </cell>
        </row>
        <row r="323">
          <cell r="Y323">
            <v>0</v>
          </cell>
        </row>
        <row r="324">
          <cell r="C324" t="str">
            <v>2100399</v>
          </cell>
        </row>
        <row r="324">
          <cell r="V324">
            <v>14.56</v>
          </cell>
        </row>
        <row r="324">
          <cell r="Y324">
            <v>0</v>
          </cell>
        </row>
        <row r="325">
          <cell r="C325" t="str">
            <v>2100408</v>
          </cell>
        </row>
        <row r="325">
          <cell r="V325">
            <v>30</v>
          </cell>
        </row>
        <row r="325">
          <cell r="Y325">
            <v>30</v>
          </cell>
        </row>
        <row r="326">
          <cell r="C326" t="str">
            <v>2100408</v>
          </cell>
        </row>
        <row r="326">
          <cell r="V326">
            <v>10</v>
          </cell>
        </row>
        <row r="326">
          <cell r="Y326">
            <v>10</v>
          </cell>
        </row>
        <row r="327">
          <cell r="C327" t="str">
            <v>2100408</v>
          </cell>
        </row>
        <row r="327">
          <cell r="V327">
            <v>1</v>
          </cell>
        </row>
        <row r="327">
          <cell r="Y327">
            <v>0</v>
          </cell>
        </row>
        <row r="328">
          <cell r="C328" t="str">
            <v>2109999</v>
          </cell>
        </row>
        <row r="328">
          <cell r="V328">
            <v>1</v>
          </cell>
        </row>
        <row r="328">
          <cell r="Y328">
            <v>1</v>
          </cell>
        </row>
        <row r="329">
          <cell r="V329">
            <v>85.04</v>
          </cell>
        </row>
        <row r="329">
          <cell r="Y329">
            <v>42.655463</v>
          </cell>
          <cell r="Z329">
            <v>0</v>
          </cell>
        </row>
        <row r="330">
          <cell r="C330" t="str">
            <v>2100302</v>
          </cell>
        </row>
        <row r="330">
          <cell r="V330">
            <v>3.64</v>
          </cell>
        </row>
        <row r="330">
          <cell r="Y330">
            <v>0</v>
          </cell>
        </row>
        <row r="331">
          <cell r="C331" t="str">
            <v>2100302</v>
          </cell>
        </row>
        <row r="331">
          <cell r="V331">
            <v>63</v>
          </cell>
        </row>
        <row r="331">
          <cell r="Y331">
            <v>42.655463</v>
          </cell>
        </row>
        <row r="332">
          <cell r="C332" t="str">
            <v>2100302</v>
          </cell>
        </row>
        <row r="332">
          <cell r="V332">
            <v>0</v>
          </cell>
        </row>
        <row r="332">
          <cell r="Y332">
            <v>0</v>
          </cell>
        </row>
        <row r="333">
          <cell r="C333" t="str">
            <v>2100399</v>
          </cell>
        </row>
        <row r="333">
          <cell r="V333">
            <v>8.4</v>
          </cell>
        </row>
        <row r="333">
          <cell r="Y333">
            <v>0</v>
          </cell>
        </row>
        <row r="334">
          <cell r="C334" t="str">
            <v>2100408</v>
          </cell>
        </row>
        <row r="334">
          <cell r="V334">
            <v>10</v>
          </cell>
        </row>
        <row r="334">
          <cell r="Y334">
            <v>0</v>
          </cell>
        </row>
        <row r="335">
          <cell r="V335">
            <v>54.36</v>
          </cell>
        </row>
        <row r="335">
          <cell r="Y335">
            <v>36.278796</v>
          </cell>
          <cell r="Z335">
            <v>0</v>
          </cell>
        </row>
        <row r="336">
          <cell r="C336" t="str">
            <v>2100302</v>
          </cell>
        </row>
        <row r="336">
          <cell r="V336">
            <v>37</v>
          </cell>
        </row>
        <row r="336">
          <cell r="Y336">
            <v>36.278796</v>
          </cell>
        </row>
        <row r="337">
          <cell r="C337" t="str">
            <v>2100302</v>
          </cell>
        </row>
        <row r="337">
          <cell r="V337">
            <v>0</v>
          </cell>
        </row>
        <row r="337">
          <cell r="Y337">
            <v>0</v>
          </cell>
        </row>
        <row r="338">
          <cell r="C338" t="str">
            <v>2100399</v>
          </cell>
        </row>
        <row r="338">
          <cell r="V338">
            <v>17.36</v>
          </cell>
        </row>
        <row r="338">
          <cell r="Y338">
            <v>0</v>
          </cell>
        </row>
        <row r="339">
          <cell r="V339">
            <v>73.68</v>
          </cell>
        </row>
        <row r="339">
          <cell r="Y339">
            <v>50</v>
          </cell>
          <cell r="Z339">
            <v>0</v>
          </cell>
        </row>
        <row r="340">
          <cell r="C340" t="str">
            <v>2100302</v>
          </cell>
        </row>
        <row r="340">
          <cell r="V340">
            <v>25</v>
          </cell>
        </row>
        <row r="340">
          <cell r="Y340">
            <v>25</v>
          </cell>
        </row>
        <row r="341">
          <cell r="C341" t="str">
            <v>2100302</v>
          </cell>
        </row>
        <row r="341">
          <cell r="V341">
            <v>8</v>
          </cell>
        </row>
        <row r="341">
          <cell r="Y341">
            <v>0</v>
          </cell>
        </row>
        <row r="342">
          <cell r="C342" t="str">
            <v>2100302</v>
          </cell>
        </row>
        <row r="342">
          <cell r="V342">
            <v>0</v>
          </cell>
        </row>
        <row r="342">
          <cell r="Y342">
            <v>0</v>
          </cell>
        </row>
        <row r="343">
          <cell r="C343" t="str">
            <v>2100399</v>
          </cell>
        </row>
        <row r="343">
          <cell r="V343">
            <v>15.68</v>
          </cell>
        </row>
        <row r="343">
          <cell r="Y343">
            <v>0</v>
          </cell>
        </row>
        <row r="344">
          <cell r="C344" t="str">
            <v>2100408</v>
          </cell>
        </row>
        <row r="344">
          <cell r="V344">
            <v>25</v>
          </cell>
        </row>
        <row r="344">
          <cell r="Y344">
            <v>25</v>
          </cell>
        </row>
        <row r="345">
          <cell r="V345">
            <v>2607.309102</v>
          </cell>
        </row>
        <row r="345">
          <cell r="Y345">
            <v>1363.955302</v>
          </cell>
          <cell r="Z345">
            <v>0</v>
          </cell>
        </row>
        <row r="346">
          <cell r="C346" t="str">
            <v>2101202</v>
          </cell>
        </row>
        <row r="346">
          <cell r="V346">
            <v>674</v>
          </cell>
        </row>
        <row r="346">
          <cell r="Y346">
            <v>673.4835</v>
          </cell>
        </row>
        <row r="347">
          <cell r="C347" t="str">
            <v>2101202</v>
          </cell>
        </row>
        <row r="347">
          <cell r="V347">
            <v>1100</v>
          </cell>
        </row>
        <row r="347">
          <cell r="Y347">
            <v>200.8877</v>
          </cell>
        </row>
        <row r="348">
          <cell r="C348" t="str">
            <v>2101301</v>
          </cell>
        </row>
        <row r="348">
          <cell r="V348">
            <v>135</v>
          </cell>
        </row>
        <row r="348">
          <cell r="Y348">
            <v>135</v>
          </cell>
        </row>
        <row r="349">
          <cell r="C349" t="str">
            <v>2101301</v>
          </cell>
        </row>
        <row r="349">
          <cell r="V349">
            <v>25.809102</v>
          </cell>
        </row>
        <row r="349">
          <cell r="Y349">
            <v>25.809102</v>
          </cell>
        </row>
        <row r="350">
          <cell r="C350" t="str">
            <v>2101301</v>
          </cell>
        </row>
        <row r="350">
          <cell r="V350">
            <v>600</v>
          </cell>
        </row>
        <row r="350">
          <cell r="Y350">
            <v>283.965</v>
          </cell>
        </row>
        <row r="351">
          <cell r="C351" t="str">
            <v>2101301</v>
          </cell>
        </row>
        <row r="351">
          <cell r="V351">
            <v>0</v>
          </cell>
        </row>
        <row r="351">
          <cell r="Y351">
            <v>0</v>
          </cell>
        </row>
        <row r="352">
          <cell r="C352" t="str">
            <v>2101502</v>
          </cell>
        </row>
        <row r="352">
          <cell r="V352">
            <v>45</v>
          </cell>
        </row>
        <row r="352">
          <cell r="Y352">
            <v>20.924</v>
          </cell>
        </row>
        <row r="353">
          <cell r="C353" t="str">
            <v>2101502</v>
          </cell>
        </row>
        <row r="353">
          <cell r="V353">
            <v>0.8</v>
          </cell>
        </row>
        <row r="353">
          <cell r="Y353">
            <v>0.8</v>
          </cell>
        </row>
        <row r="354">
          <cell r="C354" t="str">
            <v>2101506</v>
          </cell>
        </row>
        <row r="354">
          <cell r="V354">
            <v>21.7</v>
          </cell>
        </row>
        <row r="354">
          <cell r="Y354">
            <v>21.7</v>
          </cell>
        </row>
        <row r="355">
          <cell r="C355" t="str">
            <v>2101599</v>
          </cell>
        </row>
        <row r="355">
          <cell r="V355">
            <v>5</v>
          </cell>
        </row>
        <row r="355">
          <cell r="Y355">
            <v>1.386</v>
          </cell>
        </row>
        <row r="356">
          <cell r="V356">
            <v>3889.353329</v>
          </cell>
        </row>
        <row r="356">
          <cell r="Y356">
            <v>2928.796963</v>
          </cell>
          <cell r="Z356">
            <v>0</v>
          </cell>
        </row>
        <row r="357">
          <cell r="C357" t="str">
            <v>2050102</v>
          </cell>
        </row>
        <row r="357">
          <cell r="V357">
            <v>50</v>
          </cell>
        </row>
        <row r="357">
          <cell r="Y357">
            <v>0</v>
          </cell>
        </row>
        <row r="358">
          <cell r="C358" t="str">
            <v>2050102</v>
          </cell>
        </row>
        <row r="358">
          <cell r="V358">
            <v>5</v>
          </cell>
        </row>
        <row r="358">
          <cell r="Y358">
            <v>3.588098</v>
          </cell>
        </row>
        <row r="359">
          <cell r="C359" t="str">
            <v>2050102</v>
          </cell>
        </row>
        <row r="359">
          <cell r="V359">
            <v>0</v>
          </cell>
        </row>
        <row r="359">
          <cell r="Y359">
            <v>0</v>
          </cell>
        </row>
        <row r="360">
          <cell r="C360" t="str">
            <v>2050102</v>
          </cell>
        </row>
        <row r="360">
          <cell r="V360">
            <v>4</v>
          </cell>
        </row>
        <row r="360">
          <cell r="Y360">
            <v>4</v>
          </cell>
        </row>
        <row r="361">
          <cell r="C361" t="str">
            <v>2050102</v>
          </cell>
        </row>
        <row r="361">
          <cell r="V361">
            <v>2</v>
          </cell>
        </row>
        <row r="361">
          <cell r="Y361">
            <v>2</v>
          </cell>
        </row>
        <row r="362">
          <cell r="C362" t="str">
            <v>2050102</v>
          </cell>
        </row>
        <row r="362">
          <cell r="V362">
            <v>106</v>
          </cell>
        </row>
        <row r="362">
          <cell r="Y362">
            <v>80.57811</v>
          </cell>
        </row>
        <row r="363">
          <cell r="C363" t="str">
            <v>2050102</v>
          </cell>
        </row>
        <row r="363">
          <cell r="V363">
            <v>0</v>
          </cell>
        </row>
        <row r="363">
          <cell r="Y363">
            <v>0</v>
          </cell>
        </row>
        <row r="364">
          <cell r="C364" t="str">
            <v>2050102</v>
          </cell>
        </row>
        <row r="364">
          <cell r="V364">
            <v>3.1</v>
          </cell>
        </row>
        <row r="364">
          <cell r="Y364">
            <v>3.1</v>
          </cell>
        </row>
        <row r="365">
          <cell r="C365" t="str">
            <v>2050201</v>
          </cell>
        </row>
        <row r="365">
          <cell r="V365">
            <v>75.92</v>
          </cell>
        </row>
        <row r="365">
          <cell r="Y365">
            <v>75.92</v>
          </cell>
        </row>
        <row r="366">
          <cell r="C366" t="str">
            <v>2050201</v>
          </cell>
        </row>
        <row r="366">
          <cell r="V366">
            <v>108</v>
          </cell>
        </row>
        <row r="366">
          <cell r="Y366">
            <v>108</v>
          </cell>
        </row>
        <row r="367">
          <cell r="C367" t="str">
            <v>2050201</v>
          </cell>
        </row>
        <row r="367">
          <cell r="V367">
            <v>228.32</v>
          </cell>
        </row>
        <row r="367">
          <cell r="Y367">
            <v>203.0885</v>
          </cell>
        </row>
        <row r="368">
          <cell r="C368" t="str">
            <v>2050201</v>
          </cell>
        </row>
        <row r="368">
          <cell r="V368">
            <v>0</v>
          </cell>
        </row>
        <row r="368">
          <cell r="Y368">
            <v>0</v>
          </cell>
        </row>
        <row r="369">
          <cell r="C369" t="str">
            <v>2050201</v>
          </cell>
        </row>
        <row r="369">
          <cell r="V369">
            <v>3</v>
          </cell>
        </row>
        <row r="369">
          <cell r="Y369">
            <v>1.92</v>
          </cell>
        </row>
        <row r="370">
          <cell r="C370" t="str">
            <v>2050201</v>
          </cell>
        </row>
        <row r="370">
          <cell r="V370">
            <v>92</v>
          </cell>
        </row>
        <row r="370">
          <cell r="Y370">
            <v>0</v>
          </cell>
        </row>
        <row r="371">
          <cell r="C371" t="str">
            <v>2050201</v>
          </cell>
        </row>
        <row r="371">
          <cell r="V371">
            <v>0</v>
          </cell>
        </row>
        <row r="371">
          <cell r="Y371">
            <v>0</v>
          </cell>
        </row>
        <row r="372">
          <cell r="C372" t="str">
            <v>2050202</v>
          </cell>
        </row>
        <row r="372">
          <cell r="V372">
            <v>687.5</v>
          </cell>
        </row>
        <row r="372">
          <cell r="Y372">
            <v>500.22538</v>
          </cell>
        </row>
        <row r="373">
          <cell r="C373" t="str">
            <v>2050202</v>
          </cell>
        </row>
        <row r="373">
          <cell r="V373">
            <v>500</v>
          </cell>
        </row>
        <row r="373">
          <cell r="Y373">
            <v>345.115977</v>
          </cell>
        </row>
        <row r="374">
          <cell r="C374" t="str">
            <v>2050202</v>
          </cell>
        </row>
        <row r="374">
          <cell r="V374">
            <v>0</v>
          </cell>
        </row>
        <row r="374">
          <cell r="Y374">
            <v>0</v>
          </cell>
        </row>
        <row r="375">
          <cell r="C375" t="str">
            <v>2050202</v>
          </cell>
        </row>
        <row r="375">
          <cell r="V375">
            <v>300</v>
          </cell>
        </row>
        <row r="375">
          <cell r="Y375">
            <v>185.835681</v>
          </cell>
        </row>
        <row r="376">
          <cell r="C376" t="str">
            <v>2050202</v>
          </cell>
        </row>
        <row r="376">
          <cell r="V376">
            <v>621.18</v>
          </cell>
        </row>
        <row r="376">
          <cell r="Y376">
            <v>621.170754</v>
          </cell>
        </row>
        <row r="377">
          <cell r="C377" t="str">
            <v>2050202</v>
          </cell>
        </row>
        <row r="377">
          <cell r="V377">
            <v>145</v>
          </cell>
        </row>
        <row r="377">
          <cell r="Y377">
            <v>30.142406</v>
          </cell>
        </row>
        <row r="378">
          <cell r="C378" t="str">
            <v>2050202</v>
          </cell>
        </row>
        <row r="378">
          <cell r="V378">
            <v>50</v>
          </cell>
        </row>
        <row r="378">
          <cell r="Y378">
            <v>0</v>
          </cell>
        </row>
        <row r="379">
          <cell r="C379" t="str">
            <v>2050202</v>
          </cell>
        </row>
        <row r="379">
          <cell r="V379">
            <v>9</v>
          </cell>
        </row>
        <row r="379">
          <cell r="Y379">
            <v>9</v>
          </cell>
        </row>
        <row r="380">
          <cell r="C380" t="str">
            <v>2050202</v>
          </cell>
        </row>
        <row r="380">
          <cell r="V380">
            <v>20</v>
          </cell>
        </row>
        <row r="380">
          <cell r="Y380">
            <v>20</v>
          </cell>
        </row>
        <row r="381">
          <cell r="C381" t="str">
            <v>2050202</v>
          </cell>
        </row>
        <row r="381">
          <cell r="V381">
            <v>15</v>
          </cell>
        </row>
        <row r="381">
          <cell r="Y381">
            <v>0</v>
          </cell>
        </row>
        <row r="382">
          <cell r="C382" t="str">
            <v>2050202</v>
          </cell>
        </row>
        <row r="382">
          <cell r="V382">
            <v>10</v>
          </cell>
        </row>
        <row r="382">
          <cell r="Y382">
            <v>9</v>
          </cell>
        </row>
        <row r="383">
          <cell r="C383" t="str">
            <v>2050202</v>
          </cell>
        </row>
        <row r="383">
          <cell r="V383">
            <v>0</v>
          </cell>
        </row>
        <row r="383">
          <cell r="Y383">
            <v>0</v>
          </cell>
        </row>
        <row r="384">
          <cell r="C384" t="str">
            <v>2050202</v>
          </cell>
        </row>
        <row r="384">
          <cell r="V384">
            <v>110.82642</v>
          </cell>
        </row>
        <row r="384">
          <cell r="Y384">
            <v>110.822955</v>
          </cell>
        </row>
        <row r="385">
          <cell r="C385" t="str">
            <v>2050202</v>
          </cell>
        </row>
        <row r="385">
          <cell r="V385">
            <v>16</v>
          </cell>
        </row>
        <row r="385">
          <cell r="Y385">
            <v>16</v>
          </cell>
        </row>
        <row r="386">
          <cell r="C386" t="str">
            <v>2050202</v>
          </cell>
        </row>
        <row r="386">
          <cell r="V386">
            <v>57</v>
          </cell>
        </row>
        <row r="386">
          <cell r="Y386">
            <v>0</v>
          </cell>
        </row>
        <row r="387">
          <cell r="C387" t="str">
            <v>2050202</v>
          </cell>
        </row>
        <row r="387">
          <cell r="V387">
            <v>120</v>
          </cell>
        </row>
        <row r="387">
          <cell r="Y387">
            <v>71.032193</v>
          </cell>
        </row>
        <row r="388">
          <cell r="C388" t="str">
            <v>2050202</v>
          </cell>
        </row>
        <row r="388">
          <cell r="V388">
            <v>9</v>
          </cell>
        </row>
        <row r="388">
          <cell r="Y388">
            <v>0</v>
          </cell>
        </row>
        <row r="389">
          <cell r="C389" t="str">
            <v>2050203</v>
          </cell>
        </row>
        <row r="389">
          <cell r="V389">
            <v>77.8</v>
          </cell>
        </row>
        <row r="389">
          <cell r="Y389">
            <v>77.8</v>
          </cell>
        </row>
        <row r="390">
          <cell r="C390" t="str">
            <v>2050203</v>
          </cell>
        </row>
        <row r="390">
          <cell r="V390">
            <v>382.706909</v>
          </cell>
        </row>
        <row r="390">
          <cell r="Y390">
            <v>382.706909</v>
          </cell>
        </row>
        <row r="391">
          <cell r="C391" t="str">
            <v>2050203</v>
          </cell>
        </row>
        <row r="391">
          <cell r="V391">
            <v>17</v>
          </cell>
        </row>
        <row r="391">
          <cell r="Y391">
            <v>3.75</v>
          </cell>
        </row>
        <row r="392">
          <cell r="C392" t="str">
            <v>2050203</v>
          </cell>
        </row>
        <row r="392">
          <cell r="V392">
            <v>0</v>
          </cell>
        </row>
        <row r="392">
          <cell r="Y392">
            <v>0</v>
          </cell>
        </row>
        <row r="393">
          <cell r="C393" t="str">
            <v>2050203</v>
          </cell>
        </row>
        <row r="393">
          <cell r="V393">
            <v>64</v>
          </cell>
        </row>
        <row r="393">
          <cell r="Y393">
            <v>64</v>
          </cell>
        </row>
        <row r="394">
          <cell r="C394" t="str">
            <v>2050102</v>
          </cell>
        </row>
        <row r="394">
          <cell r="V394">
            <v>0</v>
          </cell>
        </row>
        <row r="394">
          <cell r="Y394">
            <v>0</v>
          </cell>
        </row>
        <row r="395">
          <cell r="V395">
            <v>226.494</v>
          </cell>
        </row>
        <row r="395">
          <cell r="Y395">
            <v>146.699867</v>
          </cell>
          <cell r="Z395">
            <v>0</v>
          </cell>
        </row>
        <row r="396">
          <cell r="C396" t="str">
            <v>2050203</v>
          </cell>
        </row>
        <row r="396">
          <cell r="V396">
            <v>11.95</v>
          </cell>
        </row>
        <row r="396">
          <cell r="Y396">
            <v>0</v>
          </cell>
        </row>
        <row r="397">
          <cell r="C397" t="str">
            <v>2050203</v>
          </cell>
        </row>
        <row r="397">
          <cell r="V397">
            <v>1.6</v>
          </cell>
        </row>
        <row r="397">
          <cell r="Y397">
            <v>0</v>
          </cell>
        </row>
        <row r="398">
          <cell r="C398" t="str">
            <v>2050203</v>
          </cell>
        </row>
        <row r="398">
          <cell r="V398">
            <v>12.1</v>
          </cell>
        </row>
        <row r="398">
          <cell r="Y398">
            <v>8.45456</v>
          </cell>
        </row>
        <row r="399">
          <cell r="C399" t="str">
            <v>2050203</v>
          </cell>
        </row>
        <row r="399">
          <cell r="V399">
            <v>20</v>
          </cell>
        </row>
        <row r="399">
          <cell r="Y399">
            <v>19.931633</v>
          </cell>
        </row>
        <row r="400">
          <cell r="C400" t="str">
            <v>2050203</v>
          </cell>
        </row>
        <row r="400">
          <cell r="V400">
            <v>21.55</v>
          </cell>
        </row>
        <row r="400">
          <cell r="Y400">
            <v>16.47576</v>
          </cell>
        </row>
        <row r="401">
          <cell r="C401" t="str">
            <v>2050203</v>
          </cell>
        </row>
        <row r="401">
          <cell r="V401">
            <v>87.67</v>
          </cell>
        </row>
        <row r="401">
          <cell r="Y401">
            <v>82.180336</v>
          </cell>
        </row>
        <row r="402">
          <cell r="C402" t="str">
            <v>2050203</v>
          </cell>
        </row>
        <row r="402">
          <cell r="V402">
            <v>44.764</v>
          </cell>
        </row>
        <row r="402">
          <cell r="Y402">
            <v>19.657578</v>
          </cell>
        </row>
        <row r="403">
          <cell r="C403" t="str">
            <v>2050203</v>
          </cell>
        </row>
        <row r="403">
          <cell r="V403">
            <v>26.86</v>
          </cell>
        </row>
        <row r="403">
          <cell r="Y403">
            <v>0</v>
          </cell>
        </row>
        <row r="404">
          <cell r="V404">
            <v>619.33</v>
          </cell>
        </row>
        <row r="404">
          <cell r="Y404">
            <v>401.946716</v>
          </cell>
          <cell r="Z404">
            <v>0</v>
          </cell>
        </row>
        <row r="405">
          <cell r="C405" t="str">
            <v>2050203</v>
          </cell>
        </row>
        <row r="405">
          <cell r="V405">
            <v>254.57</v>
          </cell>
        </row>
        <row r="405">
          <cell r="Y405">
            <v>154.565914</v>
          </cell>
        </row>
        <row r="406">
          <cell r="C406" t="str">
            <v>2050203</v>
          </cell>
        </row>
        <row r="406">
          <cell r="V406">
            <v>153</v>
          </cell>
        </row>
        <row r="406">
          <cell r="Y406">
            <v>153.743747</v>
          </cell>
        </row>
        <row r="407">
          <cell r="C407" t="str">
            <v>2050203</v>
          </cell>
        </row>
        <row r="407">
          <cell r="V407">
            <v>11.56</v>
          </cell>
        </row>
        <row r="407">
          <cell r="Y407">
            <v>0</v>
          </cell>
        </row>
        <row r="408">
          <cell r="C408" t="str">
            <v>2050203</v>
          </cell>
        </row>
        <row r="408">
          <cell r="V408">
            <v>22.22</v>
          </cell>
        </row>
        <row r="408">
          <cell r="Y408">
            <v>0</v>
          </cell>
        </row>
        <row r="409">
          <cell r="C409" t="str">
            <v>2050203</v>
          </cell>
        </row>
        <row r="409">
          <cell r="V409">
            <v>85</v>
          </cell>
        </row>
        <row r="409">
          <cell r="Y409">
            <v>72.389659</v>
          </cell>
        </row>
        <row r="410">
          <cell r="C410" t="str">
            <v>2050203</v>
          </cell>
        </row>
        <row r="410">
          <cell r="V410">
            <v>26.58</v>
          </cell>
        </row>
        <row r="410">
          <cell r="Y410">
            <v>0.482</v>
          </cell>
        </row>
        <row r="411">
          <cell r="C411" t="str">
            <v>2050203</v>
          </cell>
        </row>
        <row r="411">
          <cell r="V411">
            <v>24.2</v>
          </cell>
        </row>
        <row r="411">
          <cell r="Y411">
            <v>17.355556</v>
          </cell>
        </row>
        <row r="412">
          <cell r="C412" t="str">
            <v>2050203</v>
          </cell>
        </row>
        <row r="412">
          <cell r="V412">
            <v>20</v>
          </cell>
        </row>
        <row r="412">
          <cell r="Y412">
            <v>1.88484</v>
          </cell>
        </row>
        <row r="413">
          <cell r="C413" t="str">
            <v>2050203</v>
          </cell>
        </row>
        <row r="413">
          <cell r="V413">
            <v>19.8</v>
          </cell>
        </row>
        <row r="413">
          <cell r="Y413">
            <v>0</v>
          </cell>
        </row>
        <row r="414">
          <cell r="C414" t="str">
            <v>2050203</v>
          </cell>
        </row>
        <row r="414">
          <cell r="V414">
            <v>2.4</v>
          </cell>
        </row>
        <row r="414">
          <cell r="Y414">
            <v>1.525</v>
          </cell>
        </row>
        <row r="415">
          <cell r="V415">
            <v>175.082</v>
          </cell>
        </row>
        <row r="415">
          <cell r="Y415">
            <v>106.947405</v>
          </cell>
          <cell r="Z415">
            <v>0</v>
          </cell>
        </row>
        <row r="416">
          <cell r="C416" t="str">
            <v>2050203</v>
          </cell>
        </row>
        <row r="416">
          <cell r="V416">
            <v>0.75</v>
          </cell>
        </row>
        <row r="416">
          <cell r="Y416">
            <v>0</v>
          </cell>
        </row>
        <row r="417">
          <cell r="C417" t="str">
            <v>2050203</v>
          </cell>
        </row>
        <row r="417">
          <cell r="V417">
            <v>16.43</v>
          </cell>
        </row>
        <row r="417">
          <cell r="Y417">
            <v>0</v>
          </cell>
        </row>
        <row r="418">
          <cell r="C418" t="str">
            <v>2050203</v>
          </cell>
        </row>
        <row r="418">
          <cell r="V418">
            <v>91</v>
          </cell>
        </row>
        <row r="418">
          <cell r="Y418">
            <v>87.44346</v>
          </cell>
        </row>
        <row r="419">
          <cell r="C419" t="str">
            <v>2050203</v>
          </cell>
        </row>
        <row r="419">
          <cell r="V419">
            <v>9.252</v>
          </cell>
        </row>
        <row r="419">
          <cell r="Y419">
            <v>0</v>
          </cell>
        </row>
        <row r="420">
          <cell r="C420" t="str">
            <v>2050203</v>
          </cell>
        </row>
        <row r="420">
          <cell r="V420">
            <v>21.6</v>
          </cell>
        </row>
        <row r="420">
          <cell r="Y420">
            <v>19.503945</v>
          </cell>
        </row>
        <row r="421">
          <cell r="C421" t="str">
            <v>2050203</v>
          </cell>
        </row>
        <row r="421">
          <cell r="V421">
            <v>22.75</v>
          </cell>
        </row>
        <row r="421">
          <cell r="Y421">
            <v>0</v>
          </cell>
        </row>
        <row r="422">
          <cell r="C422" t="str">
            <v>2050203</v>
          </cell>
        </row>
        <row r="422">
          <cell r="V422">
            <v>13.3</v>
          </cell>
        </row>
        <row r="422">
          <cell r="Y422">
            <v>0</v>
          </cell>
        </row>
        <row r="423">
          <cell r="V423">
            <v>38.992</v>
          </cell>
        </row>
        <row r="423">
          <cell r="Y423">
            <v>32.191773</v>
          </cell>
          <cell r="Z423">
            <v>0</v>
          </cell>
        </row>
        <row r="424">
          <cell r="C424" t="str">
            <v>2050203</v>
          </cell>
        </row>
        <row r="424">
          <cell r="V424">
            <v>0</v>
          </cell>
        </row>
        <row r="424">
          <cell r="Y424">
            <v>0</v>
          </cell>
        </row>
        <row r="425">
          <cell r="C425" t="str">
            <v>2050203</v>
          </cell>
        </row>
        <row r="425">
          <cell r="V425">
            <v>2.99</v>
          </cell>
        </row>
        <row r="425">
          <cell r="Y425">
            <v>0</v>
          </cell>
        </row>
        <row r="426">
          <cell r="C426" t="str">
            <v>2050203</v>
          </cell>
        </row>
        <row r="426">
          <cell r="V426">
            <v>22</v>
          </cell>
        </row>
        <row r="426">
          <cell r="Y426">
            <v>22</v>
          </cell>
        </row>
        <row r="427">
          <cell r="C427" t="str">
            <v>2050203</v>
          </cell>
        </row>
        <row r="427">
          <cell r="V427">
            <v>0.108</v>
          </cell>
        </row>
        <row r="427">
          <cell r="Y427">
            <v>0.108</v>
          </cell>
        </row>
        <row r="428">
          <cell r="C428" t="str">
            <v>2050203</v>
          </cell>
        </row>
        <row r="428">
          <cell r="V428">
            <v>2.75</v>
          </cell>
        </row>
        <row r="428">
          <cell r="Y428">
            <v>0</v>
          </cell>
        </row>
        <row r="429">
          <cell r="C429" t="str">
            <v>2050203</v>
          </cell>
        </row>
        <row r="429">
          <cell r="V429">
            <v>5.2</v>
          </cell>
        </row>
        <row r="429">
          <cell r="Y429">
            <v>5.2</v>
          </cell>
        </row>
        <row r="430">
          <cell r="C430" t="str">
            <v>2050203</v>
          </cell>
        </row>
        <row r="430">
          <cell r="V430">
            <v>5.944</v>
          </cell>
        </row>
        <row r="430">
          <cell r="Y430">
            <v>4.883773</v>
          </cell>
        </row>
        <row r="431">
          <cell r="V431">
            <v>407.435</v>
          </cell>
        </row>
        <row r="431">
          <cell r="Y431">
            <v>330.870226</v>
          </cell>
          <cell r="Z431">
            <v>0</v>
          </cell>
        </row>
        <row r="432">
          <cell r="C432" t="str">
            <v>2050203</v>
          </cell>
        </row>
        <row r="432">
          <cell r="V432">
            <v>281.37</v>
          </cell>
        </row>
        <row r="432">
          <cell r="Y432">
            <v>281.368864</v>
          </cell>
        </row>
        <row r="433">
          <cell r="C433" t="str">
            <v>2050203</v>
          </cell>
        </row>
        <row r="433">
          <cell r="V433">
            <v>25</v>
          </cell>
        </row>
        <row r="433">
          <cell r="Y433">
            <v>0</v>
          </cell>
        </row>
        <row r="434">
          <cell r="C434" t="str">
            <v>2050203</v>
          </cell>
        </row>
        <row r="434">
          <cell r="V434">
            <v>17.2</v>
          </cell>
        </row>
        <row r="434">
          <cell r="Y434">
            <v>0</v>
          </cell>
        </row>
        <row r="435">
          <cell r="C435" t="str">
            <v>2050203</v>
          </cell>
        </row>
        <row r="435">
          <cell r="V435">
            <v>16.8</v>
          </cell>
        </row>
        <row r="435">
          <cell r="Y435">
            <v>11.170648</v>
          </cell>
        </row>
        <row r="436">
          <cell r="C436" t="str">
            <v>2050203</v>
          </cell>
        </row>
        <row r="436">
          <cell r="V436">
            <v>53.465</v>
          </cell>
        </row>
        <row r="436">
          <cell r="Y436">
            <v>27.942649</v>
          </cell>
        </row>
        <row r="437">
          <cell r="C437" t="str">
            <v>2050203</v>
          </cell>
        </row>
        <row r="437">
          <cell r="V437">
            <v>13.6</v>
          </cell>
        </row>
        <row r="437">
          <cell r="Y437">
            <v>10.388065</v>
          </cell>
        </row>
        <row r="438">
          <cell r="V438">
            <v>129.815</v>
          </cell>
        </row>
        <row r="438">
          <cell r="Y438">
            <v>81.556092</v>
          </cell>
          <cell r="Z438">
            <v>0</v>
          </cell>
        </row>
        <row r="439">
          <cell r="C439" t="str">
            <v>2050203</v>
          </cell>
        </row>
        <row r="439">
          <cell r="V439">
            <v>22.82</v>
          </cell>
        </row>
        <row r="439">
          <cell r="Y439">
            <v>7.190246</v>
          </cell>
        </row>
        <row r="440">
          <cell r="C440" t="str">
            <v>2050203</v>
          </cell>
        </row>
        <row r="440">
          <cell r="V440">
            <v>64.175</v>
          </cell>
        </row>
        <row r="440">
          <cell r="Y440">
            <v>44.71485</v>
          </cell>
        </row>
        <row r="441">
          <cell r="C441" t="str">
            <v>2050203</v>
          </cell>
        </row>
        <row r="441">
          <cell r="V441">
            <v>26.02</v>
          </cell>
        </row>
        <row r="441">
          <cell r="Y441">
            <v>19.410624</v>
          </cell>
        </row>
        <row r="442">
          <cell r="C442" t="str">
            <v>2050203</v>
          </cell>
        </row>
        <row r="442">
          <cell r="V442">
            <v>16.8</v>
          </cell>
        </row>
        <row r="442">
          <cell r="Y442">
            <v>10.240372</v>
          </cell>
        </row>
        <row r="443">
          <cell r="V443">
            <v>275.89</v>
          </cell>
        </row>
        <row r="443">
          <cell r="Y443">
            <v>153.013722</v>
          </cell>
          <cell r="Z443">
            <v>0</v>
          </cell>
        </row>
        <row r="444">
          <cell r="C444" t="str">
            <v>2050203</v>
          </cell>
        </row>
        <row r="444">
          <cell r="V444">
            <v>136.77</v>
          </cell>
        </row>
        <row r="444">
          <cell r="Y444">
            <v>78.480994</v>
          </cell>
        </row>
        <row r="445">
          <cell r="C445" t="str">
            <v>2050203</v>
          </cell>
        </row>
        <row r="445">
          <cell r="V445">
            <v>61.52</v>
          </cell>
        </row>
        <row r="445">
          <cell r="Y445">
            <v>15.246839</v>
          </cell>
        </row>
        <row r="446">
          <cell r="C446" t="str">
            <v>2050203</v>
          </cell>
        </row>
        <row r="446">
          <cell r="V446">
            <v>75.6</v>
          </cell>
        </row>
        <row r="446">
          <cell r="Y446">
            <v>58.295714</v>
          </cell>
        </row>
        <row r="447">
          <cell r="C447" t="str">
            <v>2050203</v>
          </cell>
        </row>
        <row r="447">
          <cell r="V447">
            <v>2</v>
          </cell>
        </row>
        <row r="447">
          <cell r="Y447">
            <v>0.990175</v>
          </cell>
        </row>
        <row r="448">
          <cell r="V448">
            <v>853.57</v>
          </cell>
        </row>
        <row r="448">
          <cell r="Y448">
            <v>460.203334</v>
          </cell>
          <cell r="Z448">
            <v>0</v>
          </cell>
        </row>
        <row r="449">
          <cell r="C449" t="str">
            <v>2050201</v>
          </cell>
        </row>
        <row r="449">
          <cell r="V449">
            <v>300</v>
          </cell>
        </row>
        <row r="449">
          <cell r="Y449">
            <v>120.009852</v>
          </cell>
        </row>
        <row r="450">
          <cell r="C450" t="str">
            <v>2050201</v>
          </cell>
        </row>
        <row r="450">
          <cell r="V450">
            <v>41.75</v>
          </cell>
        </row>
        <row r="450">
          <cell r="Y450">
            <v>16.248001</v>
          </cell>
        </row>
        <row r="451">
          <cell r="C451" t="str">
            <v>2050202</v>
          </cell>
        </row>
        <row r="451">
          <cell r="V451">
            <v>4.5</v>
          </cell>
        </row>
        <row r="451">
          <cell r="Y451">
            <v>1.975954</v>
          </cell>
        </row>
        <row r="452">
          <cell r="C452" t="str">
            <v>2050202</v>
          </cell>
        </row>
        <row r="452">
          <cell r="V452">
            <v>33.6</v>
          </cell>
        </row>
        <row r="452">
          <cell r="Y452">
            <v>25.483986</v>
          </cell>
        </row>
        <row r="453">
          <cell r="C453" t="str">
            <v>2050202</v>
          </cell>
        </row>
        <row r="453">
          <cell r="V453">
            <v>381</v>
          </cell>
        </row>
        <row r="453">
          <cell r="Y453">
            <v>264.960364</v>
          </cell>
        </row>
        <row r="454">
          <cell r="C454" t="str">
            <v>2050202</v>
          </cell>
        </row>
        <row r="454">
          <cell r="V454">
            <v>37.39</v>
          </cell>
        </row>
        <row r="454">
          <cell r="Y454">
            <v>12.92708</v>
          </cell>
        </row>
        <row r="455">
          <cell r="C455" t="str">
            <v>2050202</v>
          </cell>
        </row>
        <row r="455">
          <cell r="V455">
            <v>31.33</v>
          </cell>
        </row>
        <row r="455">
          <cell r="Y455">
            <v>0</v>
          </cell>
        </row>
        <row r="456">
          <cell r="C456" t="str">
            <v>2050202</v>
          </cell>
        </row>
        <row r="456">
          <cell r="V456">
            <v>24</v>
          </cell>
        </row>
        <row r="456">
          <cell r="Y456">
            <v>18.598097</v>
          </cell>
        </row>
        <row r="457">
          <cell r="V457">
            <v>570.972</v>
          </cell>
        </row>
        <row r="457">
          <cell r="Y457">
            <v>329.650571</v>
          </cell>
          <cell r="Z457">
            <v>0</v>
          </cell>
        </row>
        <row r="458">
          <cell r="C458" t="str">
            <v>2050201</v>
          </cell>
        </row>
        <row r="458">
          <cell r="V458">
            <v>34.86</v>
          </cell>
        </row>
        <row r="458">
          <cell r="Y458">
            <v>20.352438</v>
          </cell>
        </row>
        <row r="459">
          <cell r="C459" t="str">
            <v>2050201</v>
          </cell>
        </row>
        <row r="459">
          <cell r="V459">
            <v>200</v>
          </cell>
        </row>
        <row r="459">
          <cell r="Y459">
            <v>82.152</v>
          </cell>
        </row>
        <row r="460">
          <cell r="C460" t="str">
            <v>2050202</v>
          </cell>
        </row>
        <row r="460">
          <cell r="V460">
            <v>19</v>
          </cell>
        </row>
        <row r="460">
          <cell r="Y460">
            <v>12.098305</v>
          </cell>
        </row>
        <row r="461">
          <cell r="C461" t="str">
            <v>2050202</v>
          </cell>
        </row>
        <row r="461">
          <cell r="V461">
            <v>5</v>
          </cell>
        </row>
        <row r="461">
          <cell r="Y461">
            <v>3.6</v>
          </cell>
        </row>
        <row r="462">
          <cell r="C462" t="str">
            <v>2050202</v>
          </cell>
        </row>
        <row r="462">
          <cell r="V462">
            <v>4.5</v>
          </cell>
        </row>
        <row r="462">
          <cell r="Y462">
            <v>3.637014</v>
          </cell>
        </row>
        <row r="463">
          <cell r="C463" t="str">
            <v>2050202</v>
          </cell>
        </row>
        <row r="463">
          <cell r="V463">
            <v>5</v>
          </cell>
        </row>
        <row r="463">
          <cell r="Y463">
            <v>0</v>
          </cell>
        </row>
        <row r="464">
          <cell r="C464" t="str">
            <v>2050202</v>
          </cell>
        </row>
        <row r="464">
          <cell r="V464">
            <v>27.62</v>
          </cell>
        </row>
        <row r="464">
          <cell r="Y464">
            <v>0</v>
          </cell>
        </row>
        <row r="465">
          <cell r="C465" t="str">
            <v>2050202</v>
          </cell>
        </row>
        <row r="465">
          <cell r="V465">
            <v>30</v>
          </cell>
        </row>
        <row r="465">
          <cell r="Y465">
            <v>30</v>
          </cell>
        </row>
        <row r="466">
          <cell r="C466" t="str">
            <v>2050202</v>
          </cell>
        </row>
        <row r="466">
          <cell r="V466">
            <v>32.6</v>
          </cell>
        </row>
        <row r="466">
          <cell r="Y466">
            <v>32.189306</v>
          </cell>
        </row>
        <row r="467">
          <cell r="C467" t="str">
            <v>2050202</v>
          </cell>
        </row>
        <row r="467">
          <cell r="V467">
            <v>207.53</v>
          </cell>
        </row>
        <row r="467">
          <cell r="Y467">
            <v>142.410608</v>
          </cell>
        </row>
        <row r="468">
          <cell r="C468" t="str">
            <v>2050202</v>
          </cell>
        </row>
        <row r="468">
          <cell r="V468">
            <v>4.862</v>
          </cell>
        </row>
        <row r="468">
          <cell r="Y468">
            <v>3.2109</v>
          </cell>
        </row>
        <row r="469">
          <cell r="V469">
            <v>1247.83</v>
          </cell>
        </row>
        <row r="469">
          <cell r="Y469">
            <v>791.155066</v>
          </cell>
          <cell r="Z469">
            <v>0</v>
          </cell>
        </row>
        <row r="470">
          <cell r="C470" t="str">
            <v>2050201</v>
          </cell>
        </row>
        <row r="470">
          <cell r="V470">
            <v>240</v>
          </cell>
        </row>
        <row r="470">
          <cell r="Y470">
            <v>119.928</v>
          </cell>
        </row>
        <row r="471">
          <cell r="C471" t="str">
            <v>2050201</v>
          </cell>
        </row>
        <row r="471">
          <cell r="V471">
            <v>51.15</v>
          </cell>
        </row>
        <row r="471">
          <cell r="Y471">
            <v>22.031523</v>
          </cell>
        </row>
        <row r="472">
          <cell r="C472" t="str">
            <v>2050202</v>
          </cell>
        </row>
        <row r="472">
          <cell r="V472">
            <v>258.31</v>
          </cell>
        </row>
        <row r="472">
          <cell r="Y472">
            <v>132.476708</v>
          </cell>
        </row>
        <row r="473">
          <cell r="C473" t="str">
            <v>2050202</v>
          </cell>
        </row>
        <row r="473">
          <cell r="V473">
            <v>7</v>
          </cell>
        </row>
        <row r="473">
          <cell r="Y473">
            <v>4.507349</v>
          </cell>
        </row>
        <row r="474">
          <cell r="C474" t="str">
            <v>2050202</v>
          </cell>
        </row>
        <row r="474">
          <cell r="V474">
            <v>557.6</v>
          </cell>
        </row>
        <row r="474">
          <cell r="Y474">
            <v>424.127789</v>
          </cell>
        </row>
        <row r="475">
          <cell r="C475" t="str">
            <v>2050202</v>
          </cell>
        </row>
        <row r="475">
          <cell r="V475">
            <v>133.77</v>
          </cell>
        </row>
        <row r="475">
          <cell r="Y475">
            <v>88.083697</v>
          </cell>
        </row>
        <row r="476">
          <cell r="V476">
            <v>1348.86</v>
          </cell>
        </row>
        <row r="476">
          <cell r="Y476">
            <v>906.062986</v>
          </cell>
          <cell r="Z476">
            <v>0</v>
          </cell>
        </row>
        <row r="477">
          <cell r="C477" t="str">
            <v>2050201</v>
          </cell>
        </row>
        <row r="477">
          <cell r="V477">
            <v>46.2</v>
          </cell>
        </row>
        <row r="477">
          <cell r="Y477">
            <v>20.836173</v>
          </cell>
        </row>
        <row r="478">
          <cell r="C478" t="str">
            <v>2050201</v>
          </cell>
        </row>
        <row r="478">
          <cell r="V478">
            <v>240</v>
          </cell>
        </row>
        <row r="478">
          <cell r="Y478">
            <v>137.4852</v>
          </cell>
        </row>
        <row r="479">
          <cell r="C479" t="str">
            <v>2050202</v>
          </cell>
        </row>
        <row r="479">
          <cell r="V479">
            <v>18</v>
          </cell>
        </row>
        <row r="479">
          <cell r="Y479">
            <v>0</v>
          </cell>
        </row>
        <row r="480">
          <cell r="C480" t="str">
            <v>2050202</v>
          </cell>
        </row>
        <row r="480">
          <cell r="V480">
            <v>225.56</v>
          </cell>
        </row>
        <row r="480">
          <cell r="Y480">
            <v>139.80308</v>
          </cell>
        </row>
        <row r="481">
          <cell r="C481" t="str">
            <v>2050202</v>
          </cell>
        </row>
        <row r="481">
          <cell r="V481">
            <v>7</v>
          </cell>
        </row>
        <row r="481">
          <cell r="Y481">
            <v>4.049246</v>
          </cell>
        </row>
        <row r="482">
          <cell r="C482" t="str">
            <v>2050202</v>
          </cell>
        </row>
        <row r="482">
          <cell r="V482">
            <v>533.5</v>
          </cell>
        </row>
        <row r="482">
          <cell r="Y482">
            <v>407.488752</v>
          </cell>
        </row>
        <row r="483">
          <cell r="C483" t="str">
            <v>2050202</v>
          </cell>
        </row>
        <row r="483">
          <cell r="V483">
            <v>278.6</v>
          </cell>
        </row>
        <row r="483">
          <cell r="Y483">
            <v>196.400535</v>
          </cell>
        </row>
        <row r="484">
          <cell r="V484">
            <v>131.58</v>
          </cell>
        </row>
        <row r="484">
          <cell r="Y484">
            <v>79.841542</v>
          </cell>
          <cell r="Z484">
            <v>0</v>
          </cell>
        </row>
        <row r="485">
          <cell r="C485" t="str">
            <v>2050202</v>
          </cell>
        </row>
        <row r="485">
          <cell r="V485">
            <v>101.8</v>
          </cell>
        </row>
        <row r="485">
          <cell r="Y485">
            <v>68.354751</v>
          </cell>
        </row>
        <row r="486">
          <cell r="C486" t="str">
            <v>2050202</v>
          </cell>
        </row>
        <row r="486">
          <cell r="V486">
            <v>23.24</v>
          </cell>
        </row>
        <row r="486">
          <cell r="Y486">
            <v>11.486791</v>
          </cell>
        </row>
        <row r="487">
          <cell r="C487" t="str">
            <v>2050202</v>
          </cell>
        </row>
        <row r="487">
          <cell r="V487">
            <v>6.54</v>
          </cell>
        </row>
        <row r="487">
          <cell r="Y487">
            <v>0</v>
          </cell>
        </row>
        <row r="488">
          <cell r="V488">
            <v>158.58</v>
          </cell>
        </row>
        <row r="488">
          <cell r="Y488">
            <v>140.0206</v>
          </cell>
          <cell r="Z488">
            <v>0</v>
          </cell>
        </row>
        <row r="489">
          <cell r="C489" t="str">
            <v>2070102</v>
          </cell>
        </row>
        <row r="489">
          <cell r="V489">
            <v>1.2</v>
          </cell>
        </row>
        <row r="489">
          <cell r="Y489">
            <v>1.2</v>
          </cell>
        </row>
        <row r="490">
          <cell r="C490" t="str">
            <v>2070109</v>
          </cell>
        </row>
        <row r="490">
          <cell r="V490">
            <v>25.9</v>
          </cell>
        </row>
        <row r="490">
          <cell r="Y490">
            <v>26.48746</v>
          </cell>
        </row>
        <row r="491">
          <cell r="C491" t="str">
            <v>2070109</v>
          </cell>
        </row>
        <row r="491">
          <cell r="V491">
            <v>10</v>
          </cell>
        </row>
        <row r="491">
          <cell r="Y491">
            <v>6</v>
          </cell>
        </row>
        <row r="492">
          <cell r="C492" t="str">
            <v>2070109</v>
          </cell>
        </row>
        <row r="492">
          <cell r="V492">
            <v>0</v>
          </cell>
        </row>
        <row r="492">
          <cell r="Y492">
            <v>0</v>
          </cell>
        </row>
        <row r="493">
          <cell r="C493" t="str">
            <v>2070199</v>
          </cell>
        </row>
        <row r="493">
          <cell r="V493">
            <v>12.48</v>
          </cell>
        </row>
        <row r="493">
          <cell r="Y493">
            <v>0</v>
          </cell>
        </row>
        <row r="494">
          <cell r="C494" t="str">
            <v>2070199</v>
          </cell>
        </row>
        <row r="494">
          <cell r="V494">
            <v>100</v>
          </cell>
        </row>
        <row r="494">
          <cell r="Y494">
            <v>100</v>
          </cell>
        </row>
        <row r="495">
          <cell r="C495" t="str">
            <v>2070808</v>
          </cell>
        </row>
        <row r="495">
          <cell r="V495">
            <v>1</v>
          </cell>
        </row>
        <row r="495">
          <cell r="Y495">
            <v>0.97</v>
          </cell>
        </row>
        <row r="496">
          <cell r="C496" t="str">
            <v>2079999</v>
          </cell>
        </row>
        <row r="496">
          <cell r="V496">
            <v>8</v>
          </cell>
        </row>
        <row r="496">
          <cell r="Y496">
            <v>5.36314</v>
          </cell>
        </row>
        <row r="497">
          <cell r="V497">
            <v>1035</v>
          </cell>
        </row>
        <row r="497">
          <cell r="Y497">
            <v>335.28831</v>
          </cell>
          <cell r="Z497">
            <v>0</v>
          </cell>
        </row>
        <row r="498">
          <cell r="C498" t="str">
            <v>2060102</v>
          </cell>
        </row>
        <row r="498">
          <cell r="V498">
            <v>1.6</v>
          </cell>
        </row>
        <row r="498">
          <cell r="Y498">
            <v>1.6</v>
          </cell>
        </row>
        <row r="499">
          <cell r="C499" t="str">
            <v>2060799</v>
          </cell>
        </row>
        <row r="499">
          <cell r="V499">
            <v>33.4</v>
          </cell>
        </row>
        <row r="499">
          <cell r="Y499">
            <v>20.68831</v>
          </cell>
        </row>
        <row r="500">
          <cell r="C500" t="str">
            <v>2069901</v>
          </cell>
        </row>
        <row r="500">
          <cell r="V500">
            <v>1000</v>
          </cell>
        </row>
        <row r="500">
          <cell r="Y500">
            <v>313</v>
          </cell>
        </row>
        <row r="501">
          <cell r="V501">
            <v>342</v>
          </cell>
        </row>
        <row r="501">
          <cell r="Y501">
            <v>172.939074</v>
          </cell>
          <cell r="Z501">
            <v>0</v>
          </cell>
        </row>
        <row r="502">
          <cell r="C502" t="str">
            <v>2060102</v>
          </cell>
        </row>
        <row r="502">
          <cell r="V502">
            <v>245</v>
          </cell>
        </row>
        <row r="502">
          <cell r="Y502">
            <v>127.242274</v>
          </cell>
        </row>
        <row r="503">
          <cell r="C503" t="str">
            <v>2060102</v>
          </cell>
        </row>
        <row r="503">
          <cell r="V503">
            <v>7</v>
          </cell>
        </row>
        <row r="503">
          <cell r="Y503">
            <v>5.8768</v>
          </cell>
        </row>
        <row r="504">
          <cell r="C504" t="str">
            <v>2060102</v>
          </cell>
        </row>
        <row r="504">
          <cell r="V504">
            <v>90</v>
          </cell>
        </row>
        <row r="504">
          <cell r="Y504">
            <v>39.82</v>
          </cell>
        </row>
        <row r="505">
          <cell r="V505">
            <v>1118.795341</v>
          </cell>
        </row>
        <row r="505">
          <cell r="Y505">
            <v>403.604091</v>
          </cell>
          <cell r="Z505">
            <v>0</v>
          </cell>
        </row>
        <row r="506">
          <cell r="C506" t="str">
            <v>2010402</v>
          </cell>
        </row>
        <row r="506">
          <cell r="V506">
            <v>16</v>
          </cell>
        </row>
        <row r="506">
          <cell r="Y506">
            <v>9.467228</v>
          </cell>
        </row>
        <row r="507">
          <cell r="C507" t="str">
            <v>2010402</v>
          </cell>
        </row>
        <row r="507">
          <cell r="V507">
            <v>50</v>
          </cell>
        </row>
        <row r="507">
          <cell r="Y507">
            <v>14.08</v>
          </cell>
        </row>
        <row r="508">
          <cell r="C508" t="str">
            <v>2010402</v>
          </cell>
        </row>
        <row r="508">
          <cell r="V508">
            <v>130</v>
          </cell>
        </row>
        <row r="508">
          <cell r="Y508">
            <v>84.54</v>
          </cell>
        </row>
        <row r="509">
          <cell r="C509" t="str">
            <v>2010499</v>
          </cell>
        </row>
        <row r="509">
          <cell r="V509">
            <v>20</v>
          </cell>
        </row>
        <row r="509">
          <cell r="Y509">
            <v>20</v>
          </cell>
        </row>
        <row r="510">
          <cell r="C510" t="str">
            <v>2110102</v>
          </cell>
        </row>
        <row r="510">
          <cell r="V510">
            <v>2.02</v>
          </cell>
        </row>
        <row r="510">
          <cell r="Y510">
            <v>2.02</v>
          </cell>
        </row>
        <row r="511">
          <cell r="C511" t="str">
            <v>2111201</v>
          </cell>
        </row>
        <row r="511">
          <cell r="V511">
            <v>90.005341</v>
          </cell>
        </row>
        <row r="511">
          <cell r="Y511">
            <v>0</v>
          </cell>
        </row>
        <row r="512">
          <cell r="C512" t="str">
            <v>2111201</v>
          </cell>
        </row>
        <row r="512">
          <cell r="V512">
            <v>560</v>
          </cell>
        </row>
        <row r="512">
          <cell r="Y512">
            <v>37.523836</v>
          </cell>
        </row>
        <row r="513">
          <cell r="C513" t="str">
            <v>2111201</v>
          </cell>
        </row>
        <row r="513">
          <cell r="V513">
            <v>0</v>
          </cell>
        </row>
        <row r="513">
          <cell r="Y513">
            <v>0</v>
          </cell>
        </row>
        <row r="514">
          <cell r="C514" t="str">
            <v>2111201</v>
          </cell>
        </row>
        <row r="514">
          <cell r="V514">
            <v>0</v>
          </cell>
        </row>
        <row r="514">
          <cell r="Y514">
            <v>33.643027</v>
          </cell>
        </row>
        <row r="515">
          <cell r="C515" t="str">
            <v>2299999</v>
          </cell>
        </row>
        <row r="515">
          <cell r="V515">
            <v>107</v>
          </cell>
        </row>
        <row r="515">
          <cell r="Y515">
            <v>106.33</v>
          </cell>
        </row>
        <row r="516">
          <cell r="C516" t="str">
            <v>2299999</v>
          </cell>
        </row>
        <row r="516">
          <cell r="V516">
            <v>72</v>
          </cell>
        </row>
        <row r="516">
          <cell r="Y516">
            <v>72</v>
          </cell>
        </row>
        <row r="517">
          <cell r="C517" t="str">
            <v>2299999</v>
          </cell>
        </row>
        <row r="517">
          <cell r="V517">
            <v>24</v>
          </cell>
        </row>
        <row r="517">
          <cell r="Y517">
            <v>24</v>
          </cell>
        </row>
        <row r="518">
          <cell r="C518">
            <v>2111201</v>
          </cell>
        </row>
        <row r="518">
          <cell r="V518">
            <v>39.77</v>
          </cell>
        </row>
        <row r="518">
          <cell r="Y518">
            <v>0</v>
          </cell>
        </row>
        <row r="519">
          <cell r="C519" t="str">
            <v>2010402</v>
          </cell>
        </row>
        <row r="519">
          <cell r="V519">
            <v>8</v>
          </cell>
        </row>
        <row r="519">
          <cell r="Y519">
            <v>0</v>
          </cell>
        </row>
        <row r="520">
          <cell r="C520" t="str">
            <v>2010402</v>
          </cell>
        </row>
        <row r="520">
          <cell r="V520">
            <v>0</v>
          </cell>
        </row>
        <row r="520">
          <cell r="Y520">
            <v>0</v>
          </cell>
        </row>
        <row r="521">
          <cell r="V521">
            <v>885.790896</v>
          </cell>
        </row>
        <row r="521">
          <cell r="Y521">
            <v>609.826589</v>
          </cell>
          <cell r="Z521">
            <v>0</v>
          </cell>
        </row>
        <row r="522">
          <cell r="C522" t="str">
            <v>2011308</v>
          </cell>
        </row>
        <row r="522">
          <cell r="V522">
            <v>850</v>
          </cell>
        </row>
        <row r="522">
          <cell r="Y522">
            <v>581.326589</v>
          </cell>
        </row>
        <row r="523">
          <cell r="C523" t="str">
            <v>2011308</v>
          </cell>
        </row>
        <row r="523">
          <cell r="V523">
            <v>7.290896</v>
          </cell>
        </row>
        <row r="523">
          <cell r="Y523">
            <v>0</v>
          </cell>
        </row>
        <row r="524">
          <cell r="C524" t="str">
            <v>2011308</v>
          </cell>
        </row>
        <row r="524">
          <cell r="V524">
            <v>3.1</v>
          </cell>
        </row>
        <row r="524">
          <cell r="Y524">
            <v>3.1</v>
          </cell>
        </row>
        <row r="525">
          <cell r="C525" t="str">
            <v>2160699</v>
          </cell>
        </row>
        <row r="525">
          <cell r="V525">
            <v>25.4</v>
          </cell>
        </row>
        <row r="525">
          <cell r="Y525">
            <v>25.4</v>
          </cell>
        </row>
        <row r="526">
          <cell r="V526">
            <v>652.09</v>
          </cell>
        </row>
        <row r="526">
          <cell r="Y526">
            <v>357.785777</v>
          </cell>
          <cell r="Z526">
            <v>0</v>
          </cell>
        </row>
        <row r="527">
          <cell r="C527" t="str">
            <v>2011302</v>
          </cell>
        </row>
        <row r="527">
          <cell r="V527">
            <v>10</v>
          </cell>
        </row>
        <row r="527">
          <cell r="Y527">
            <v>7.992705</v>
          </cell>
        </row>
        <row r="528">
          <cell r="C528" t="str">
            <v>2011302</v>
          </cell>
        </row>
        <row r="528">
          <cell r="V528">
            <v>4</v>
          </cell>
        </row>
        <row r="528">
          <cell r="Y528">
            <v>1</v>
          </cell>
        </row>
        <row r="529">
          <cell r="C529" t="str">
            <v>2011302</v>
          </cell>
        </row>
        <row r="529">
          <cell r="V529">
            <v>2</v>
          </cell>
        </row>
        <row r="529">
          <cell r="Y529">
            <v>0</v>
          </cell>
        </row>
        <row r="530">
          <cell r="C530" t="str">
            <v>2011302</v>
          </cell>
        </row>
        <row r="530">
          <cell r="V530">
            <v>6</v>
          </cell>
        </row>
        <row r="530">
          <cell r="Y530">
            <v>1</v>
          </cell>
        </row>
        <row r="531">
          <cell r="C531" t="str">
            <v>2011302</v>
          </cell>
        </row>
        <row r="531">
          <cell r="V531">
            <v>1.9</v>
          </cell>
        </row>
        <row r="531">
          <cell r="Y531">
            <v>1.5723</v>
          </cell>
        </row>
        <row r="532">
          <cell r="C532" t="str">
            <v>2011302</v>
          </cell>
        </row>
        <row r="532">
          <cell r="V532">
            <v>18</v>
          </cell>
        </row>
        <row r="532">
          <cell r="Y532">
            <v>12.320772</v>
          </cell>
        </row>
        <row r="533">
          <cell r="C533" t="str">
            <v>2011302</v>
          </cell>
        </row>
        <row r="533">
          <cell r="V533">
            <v>2.5</v>
          </cell>
        </row>
        <row r="533">
          <cell r="Y533">
            <v>2.5</v>
          </cell>
        </row>
        <row r="534">
          <cell r="C534" t="str">
            <v>2069999</v>
          </cell>
        </row>
        <row r="534">
          <cell r="V534">
            <v>500</v>
          </cell>
        </row>
        <row r="534">
          <cell r="Y534">
            <v>247.21</v>
          </cell>
        </row>
        <row r="535">
          <cell r="C535" t="str">
            <v>2100410</v>
          </cell>
        </row>
        <row r="535">
          <cell r="V535">
            <v>20</v>
          </cell>
        </row>
        <row r="535">
          <cell r="Y535">
            <v>20</v>
          </cell>
        </row>
        <row r="536">
          <cell r="C536" t="str">
            <v>2100410</v>
          </cell>
        </row>
        <row r="536">
          <cell r="V536">
            <v>62.69</v>
          </cell>
        </row>
        <row r="536">
          <cell r="Y536">
            <v>62.69</v>
          </cell>
        </row>
        <row r="537">
          <cell r="C537" t="str">
            <v>2150805</v>
          </cell>
        </row>
        <row r="537">
          <cell r="V537">
            <v>25</v>
          </cell>
        </row>
        <row r="537">
          <cell r="Y537">
            <v>1.5</v>
          </cell>
        </row>
        <row r="538">
          <cell r="C538" t="str">
            <v>2069999</v>
          </cell>
        </row>
        <row r="538">
          <cell r="V538">
            <v>0</v>
          </cell>
        </row>
        <row r="538">
          <cell r="Y538">
            <v>0</v>
          </cell>
        </row>
        <row r="539">
          <cell r="C539" t="str">
            <v>2150805</v>
          </cell>
        </row>
        <row r="539">
          <cell r="V539">
            <v>0</v>
          </cell>
        </row>
        <row r="539">
          <cell r="Y539">
            <v>0</v>
          </cell>
        </row>
        <row r="540">
          <cell r="V540">
            <v>34190.786075</v>
          </cell>
        </row>
        <row r="540">
          <cell r="Y540">
            <v>20158.785093</v>
          </cell>
          <cell r="Z540">
            <v>0</v>
          </cell>
        </row>
        <row r="541">
          <cell r="C541" t="str">
            <v>2012505</v>
          </cell>
        </row>
        <row r="541">
          <cell r="V541">
            <v>150</v>
          </cell>
        </row>
        <row r="541">
          <cell r="Y541">
            <v>0</v>
          </cell>
        </row>
        <row r="542">
          <cell r="C542" t="str">
            <v>2100410</v>
          </cell>
        </row>
        <row r="542">
          <cell r="V542">
            <v>5</v>
          </cell>
        </row>
        <row r="542">
          <cell r="Y542">
            <v>5</v>
          </cell>
        </row>
        <row r="543">
          <cell r="C543" t="str">
            <v>2120102</v>
          </cell>
        </row>
        <row r="543">
          <cell r="V543">
            <v>36</v>
          </cell>
        </row>
        <row r="543">
          <cell r="Y543">
            <v>36</v>
          </cell>
        </row>
        <row r="544">
          <cell r="C544" t="str">
            <v>2120102</v>
          </cell>
        </row>
        <row r="544">
          <cell r="V544">
            <v>13</v>
          </cell>
        </row>
        <row r="544">
          <cell r="Y544">
            <v>3.5</v>
          </cell>
        </row>
        <row r="545">
          <cell r="C545" t="str">
            <v>2120102</v>
          </cell>
        </row>
        <row r="545">
          <cell r="V545">
            <v>1.6</v>
          </cell>
        </row>
        <row r="545">
          <cell r="Y545">
            <v>1.6</v>
          </cell>
        </row>
        <row r="546">
          <cell r="C546" t="str">
            <v>2120102</v>
          </cell>
        </row>
        <row r="546">
          <cell r="V546">
            <v>16</v>
          </cell>
        </row>
        <row r="546">
          <cell r="Y546">
            <v>9.70046</v>
          </cell>
        </row>
        <row r="547">
          <cell r="C547" t="str">
            <v>2120102</v>
          </cell>
        </row>
        <row r="547">
          <cell r="V547">
            <v>2.2</v>
          </cell>
        </row>
        <row r="547">
          <cell r="Y547">
            <v>2.2</v>
          </cell>
        </row>
        <row r="548">
          <cell r="C548" t="str">
            <v>2120102</v>
          </cell>
        </row>
        <row r="548">
          <cell r="V548">
            <v>40</v>
          </cell>
        </row>
        <row r="548">
          <cell r="Y548">
            <v>0</v>
          </cell>
        </row>
        <row r="549">
          <cell r="C549" t="str">
            <v>2120102</v>
          </cell>
        </row>
        <row r="549">
          <cell r="V549">
            <v>50</v>
          </cell>
        </row>
        <row r="549">
          <cell r="Y549">
            <v>14.308192</v>
          </cell>
        </row>
        <row r="550">
          <cell r="C550" t="str">
            <v>2120102</v>
          </cell>
        </row>
        <row r="550">
          <cell r="V550">
            <v>5.4</v>
          </cell>
        </row>
        <row r="550">
          <cell r="Y550">
            <v>5.4</v>
          </cell>
        </row>
        <row r="551">
          <cell r="C551" t="str">
            <v>2120399</v>
          </cell>
        </row>
        <row r="551">
          <cell r="V551">
            <v>291.28</v>
          </cell>
        </row>
        <row r="551">
          <cell r="Y551">
            <v>0</v>
          </cell>
        </row>
        <row r="552">
          <cell r="C552" t="str">
            <v>2120399</v>
          </cell>
        </row>
        <row r="552">
          <cell r="V552">
            <v>490</v>
          </cell>
        </row>
        <row r="552">
          <cell r="Y552">
            <v>1.8</v>
          </cell>
        </row>
        <row r="553">
          <cell r="C553" t="str">
            <v>2120399</v>
          </cell>
        </row>
        <row r="553">
          <cell r="V553">
            <v>17028</v>
          </cell>
        </row>
        <row r="553">
          <cell r="Y553">
            <v>7028</v>
          </cell>
        </row>
        <row r="554">
          <cell r="C554" t="str">
            <v>2120399</v>
          </cell>
        </row>
        <row r="554">
          <cell r="V554">
            <v>8000</v>
          </cell>
        </row>
        <row r="554">
          <cell r="Y554">
            <v>5697.250441</v>
          </cell>
        </row>
        <row r="555">
          <cell r="C555" t="str">
            <v>2120399</v>
          </cell>
        </row>
        <row r="555">
          <cell r="V555">
            <v>5228.7387</v>
          </cell>
        </row>
        <row r="555">
          <cell r="Y555">
            <v>5228.7387</v>
          </cell>
        </row>
        <row r="556">
          <cell r="C556" t="str">
            <v>2130504</v>
          </cell>
        </row>
        <row r="556">
          <cell r="V556">
            <v>1000</v>
          </cell>
        </row>
        <row r="556">
          <cell r="Y556">
            <v>400</v>
          </cell>
        </row>
        <row r="557">
          <cell r="C557" t="str">
            <v>2140104</v>
          </cell>
        </row>
        <row r="557">
          <cell r="V557">
            <v>1725.287375</v>
          </cell>
        </row>
        <row r="557">
          <cell r="Y557">
            <v>1725.2873</v>
          </cell>
        </row>
        <row r="558">
          <cell r="C558" t="str">
            <v>2149901</v>
          </cell>
        </row>
        <row r="558">
          <cell r="V558">
            <v>9</v>
          </cell>
        </row>
        <row r="558">
          <cell r="Y558">
            <v>0</v>
          </cell>
        </row>
        <row r="559">
          <cell r="C559" t="str">
            <v>2120102</v>
          </cell>
        </row>
        <row r="559">
          <cell r="V559">
            <v>12.88</v>
          </cell>
        </row>
        <row r="559">
          <cell r="Y559">
            <v>0</v>
          </cell>
        </row>
        <row r="560">
          <cell r="C560" t="str">
            <v>2129999</v>
          </cell>
        </row>
        <row r="560">
          <cell r="V560">
            <v>20</v>
          </cell>
        </row>
        <row r="560">
          <cell r="Y560">
            <v>0</v>
          </cell>
        </row>
        <row r="561">
          <cell r="C561" t="str">
            <v>2149999</v>
          </cell>
        </row>
        <row r="561">
          <cell r="V561">
            <v>66.4</v>
          </cell>
        </row>
        <row r="561">
          <cell r="Y561">
            <v>0</v>
          </cell>
        </row>
        <row r="562">
          <cell r="V562">
            <v>7493.352141</v>
          </cell>
        </row>
        <row r="562">
          <cell r="Y562">
            <v>7482.934709</v>
          </cell>
          <cell r="Z562">
            <v>0</v>
          </cell>
        </row>
        <row r="563">
          <cell r="C563" t="str">
            <v>2120102</v>
          </cell>
        </row>
        <row r="563">
          <cell r="V563">
            <v>3.1</v>
          </cell>
        </row>
        <row r="563">
          <cell r="Y563">
            <v>2.9</v>
          </cell>
        </row>
        <row r="564">
          <cell r="C564" t="str">
            <v>2120102</v>
          </cell>
        </row>
        <row r="564">
          <cell r="V564">
            <v>4.2</v>
          </cell>
        </row>
        <row r="564">
          <cell r="Y564">
            <v>3.985168</v>
          </cell>
        </row>
        <row r="565">
          <cell r="C565" t="str">
            <v>2120102</v>
          </cell>
        </row>
        <row r="565">
          <cell r="V565">
            <v>10</v>
          </cell>
        </row>
        <row r="565">
          <cell r="Y565">
            <v>10</v>
          </cell>
        </row>
        <row r="566">
          <cell r="C566" t="str">
            <v>2210105</v>
          </cell>
        </row>
        <row r="566">
          <cell r="V566">
            <v>1</v>
          </cell>
        </row>
        <row r="566">
          <cell r="Y566">
            <v>1</v>
          </cell>
        </row>
        <row r="567">
          <cell r="C567" t="str">
            <v>2210105</v>
          </cell>
        </row>
        <row r="567">
          <cell r="V567">
            <v>10</v>
          </cell>
        </row>
        <row r="567">
          <cell r="Y567">
            <v>0</v>
          </cell>
        </row>
        <row r="568">
          <cell r="C568" t="str">
            <v>2210199</v>
          </cell>
        </row>
        <row r="568">
          <cell r="V568">
            <v>7080</v>
          </cell>
        </row>
        <row r="568">
          <cell r="Y568">
            <v>7080</v>
          </cell>
        </row>
        <row r="569">
          <cell r="C569" t="str">
            <v>2210399</v>
          </cell>
        </row>
        <row r="569">
          <cell r="V569">
            <v>385.052141</v>
          </cell>
        </row>
        <row r="569">
          <cell r="Y569">
            <v>385.049541</v>
          </cell>
        </row>
        <row r="570">
          <cell r="V570">
            <v>6863.4</v>
          </cell>
        </row>
        <row r="570">
          <cell r="Y570">
            <v>2507.501503</v>
          </cell>
          <cell r="Z570">
            <v>0</v>
          </cell>
        </row>
        <row r="571">
          <cell r="C571" t="str">
            <v>2110302</v>
          </cell>
        </row>
        <row r="571">
          <cell r="V571">
            <v>1600.5</v>
          </cell>
        </row>
        <row r="571">
          <cell r="Y571">
            <v>992.1023</v>
          </cell>
        </row>
        <row r="572">
          <cell r="C572" t="str">
            <v>2110302</v>
          </cell>
        </row>
        <row r="572">
          <cell r="V572">
            <v>199.5</v>
          </cell>
        </row>
        <row r="572">
          <cell r="Y572">
            <v>199.5</v>
          </cell>
        </row>
        <row r="573">
          <cell r="C573" t="str">
            <v>2120102</v>
          </cell>
        </row>
        <row r="573">
          <cell r="V573">
            <v>1.4</v>
          </cell>
        </row>
        <row r="573">
          <cell r="Y573">
            <v>1.4</v>
          </cell>
        </row>
        <row r="574">
          <cell r="C574" t="str">
            <v>2120104</v>
          </cell>
        </row>
        <row r="574">
          <cell r="V574">
            <v>231.75</v>
          </cell>
        </row>
        <row r="574">
          <cell r="Y574">
            <v>205.571985</v>
          </cell>
        </row>
        <row r="575">
          <cell r="C575" t="str">
            <v>2120104</v>
          </cell>
        </row>
        <row r="575">
          <cell r="V575">
            <v>16.7</v>
          </cell>
        </row>
        <row r="575">
          <cell r="Y575">
            <v>0</v>
          </cell>
        </row>
        <row r="576">
          <cell r="C576" t="str">
            <v>2120104</v>
          </cell>
        </row>
        <row r="576">
          <cell r="V576">
            <v>360</v>
          </cell>
        </row>
        <row r="576">
          <cell r="Y576">
            <v>9.694836</v>
          </cell>
        </row>
        <row r="577">
          <cell r="C577" t="str">
            <v>2120104</v>
          </cell>
        </row>
        <row r="577">
          <cell r="V577">
            <v>30</v>
          </cell>
        </row>
        <row r="577">
          <cell r="Y577">
            <v>5.0695</v>
          </cell>
        </row>
        <row r="578">
          <cell r="C578" t="str">
            <v>2120399</v>
          </cell>
        </row>
        <row r="578">
          <cell r="V578">
            <v>400</v>
          </cell>
        </row>
        <row r="578">
          <cell r="Y578">
            <v>138.162882</v>
          </cell>
        </row>
        <row r="579">
          <cell r="C579" t="str">
            <v>2120399</v>
          </cell>
        </row>
        <row r="579">
          <cell r="V579">
            <v>9.55</v>
          </cell>
        </row>
        <row r="579">
          <cell r="Y579">
            <v>0</v>
          </cell>
        </row>
        <row r="580">
          <cell r="C580" t="str">
            <v>2120501</v>
          </cell>
        </row>
        <row r="580">
          <cell r="V580">
            <v>360</v>
          </cell>
        </row>
        <row r="580">
          <cell r="Y580">
            <v>6.5</v>
          </cell>
        </row>
        <row r="581">
          <cell r="C581" t="str">
            <v>2120501</v>
          </cell>
        </row>
        <row r="581">
          <cell r="V581">
            <v>3594</v>
          </cell>
        </row>
        <row r="581">
          <cell r="Y581">
            <v>898.5</v>
          </cell>
        </row>
        <row r="582">
          <cell r="C582" t="str">
            <v>2120501</v>
          </cell>
        </row>
        <row r="582">
          <cell r="V582">
            <v>60</v>
          </cell>
        </row>
        <row r="582">
          <cell r="Y582">
            <v>51</v>
          </cell>
        </row>
        <row r="583">
          <cell r="V583">
            <v>511.05</v>
          </cell>
        </row>
        <row r="583">
          <cell r="Y583">
            <v>261.060058</v>
          </cell>
          <cell r="Z583">
            <v>0</v>
          </cell>
        </row>
        <row r="584">
          <cell r="C584" t="str">
            <v>2240102</v>
          </cell>
        </row>
        <row r="584">
          <cell r="V584">
            <v>1.682</v>
          </cell>
        </row>
        <row r="584">
          <cell r="Y584">
            <v>1.682</v>
          </cell>
        </row>
        <row r="585">
          <cell r="C585" t="str">
            <v>2240102</v>
          </cell>
        </row>
        <row r="585">
          <cell r="V585">
            <v>1.4</v>
          </cell>
        </row>
        <row r="585">
          <cell r="Y585">
            <v>1.4</v>
          </cell>
        </row>
        <row r="586">
          <cell r="C586" t="str">
            <v>2240104</v>
          </cell>
        </row>
        <row r="586">
          <cell r="V586">
            <v>30</v>
          </cell>
        </row>
        <row r="586">
          <cell r="Y586">
            <v>0</v>
          </cell>
        </row>
        <row r="587">
          <cell r="C587" t="str">
            <v>2240106</v>
          </cell>
        </row>
        <row r="587">
          <cell r="V587">
            <v>133</v>
          </cell>
        </row>
        <row r="587">
          <cell r="Y587">
            <v>42.297746</v>
          </cell>
        </row>
        <row r="588">
          <cell r="C588" t="str">
            <v>2240106</v>
          </cell>
        </row>
        <row r="588">
          <cell r="V588">
            <v>59.6</v>
          </cell>
        </row>
        <row r="588">
          <cell r="Y588">
            <v>3.6</v>
          </cell>
        </row>
        <row r="589">
          <cell r="C589" t="str">
            <v>2240106</v>
          </cell>
        </row>
        <row r="589">
          <cell r="V589">
            <v>47</v>
          </cell>
        </row>
        <row r="589">
          <cell r="Y589">
            <v>6.762672</v>
          </cell>
        </row>
        <row r="590">
          <cell r="C590" t="str">
            <v>2240108</v>
          </cell>
        </row>
        <row r="590">
          <cell r="V590">
            <v>20</v>
          </cell>
        </row>
        <row r="590">
          <cell r="Y590">
            <v>6.94964</v>
          </cell>
        </row>
        <row r="591">
          <cell r="C591" t="str">
            <v>2240109</v>
          </cell>
        </row>
        <row r="591">
          <cell r="V591">
            <v>20</v>
          </cell>
        </row>
        <row r="591">
          <cell r="Y591">
            <v>0</v>
          </cell>
        </row>
        <row r="592">
          <cell r="C592" t="str">
            <v>2240199</v>
          </cell>
        </row>
        <row r="592">
          <cell r="V592">
            <v>45</v>
          </cell>
        </row>
        <row r="592">
          <cell r="Y592">
            <v>45</v>
          </cell>
        </row>
        <row r="593">
          <cell r="C593" t="str">
            <v>2240703</v>
          </cell>
        </row>
        <row r="593">
          <cell r="V593">
            <v>83.368</v>
          </cell>
        </row>
        <row r="593">
          <cell r="Y593">
            <v>83.368</v>
          </cell>
        </row>
        <row r="594">
          <cell r="C594" t="str">
            <v>2240703</v>
          </cell>
        </row>
        <row r="594">
          <cell r="V594">
            <v>70</v>
          </cell>
        </row>
        <row r="594">
          <cell r="Y594">
            <v>70</v>
          </cell>
        </row>
        <row r="595">
          <cell r="V595">
            <v>6595.199623</v>
          </cell>
        </row>
        <row r="595">
          <cell r="Y595">
            <v>2512.046894</v>
          </cell>
          <cell r="Z595">
            <v>0</v>
          </cell>
        </row>
        <row r="596">
          <cell r="C596" t="str">
            <v>2110102</v>
          </cell>
        </row>
        <row r="596">
          <cell r="V596">
            <v>8</v>
          </cell>
        </row>
        <row r="596">
          <cell r="Y596">
            <v>5.825968</v>
          </cell>
        </row>
        <row r="597">
          <cell r="C597" t="str">
            <v>2110102</v>
          </cell>
        </row>
        <row r="597">
          <cell r="V597">
            <v>48</v>
          </cell>
        </row>
        <row r="597">
          <cell r="Y597">
            <v>8.55</v>
          </cell>
        </row>
        <row r="598">
          <cell r="C598" t="str">
            <v>2110102</v>
          </cell>
        </row>
        <row r="598">
          <cell r="V598">
            <v>3</v>
          </cell>
        </row>
        <row r="598">
          <cell r="Y598">
            <v>3</v>
          </cell>
        </row>
        <row r="599">
          <cell r="C599" t="str">
            <v>2110299</v>
          </cell>
        </row>
        <row r="599">
          <cell r="V599">
            <v>53</v>
          </cell>
        </row>
        <row r="599">
          <cell r="Y599">
            <v>1.753</v>
          </cell>
        </row>
        <row r="600">
          <cell r="C600" t="str">
            <v>2110299</v>
          </cell>
        </row>
        <row r="600">
          <cell r="V600">
            <v>108</v>
          </cell>
        </row>
        <row r="600">
          <cell r="Y600">
            <v>47.44</v>
          </cell>
        </row>
        <row r="601">
          <cell r="C601" t="str">
            <v>2110299</v>
          </cell>
        </row>
        <row r="601">
          <cell r="V601">
            <v>21.0088</v>
          </cell>
        </row>
        <row r="601">
          <cell r="Y601">
            <v>16.6349</v>
          </cell>
        </row>
        <row r="602">
          <cell r="C602" t="str">
            <v>2110302</v>
          </cell>
        </row>
        <row r="602">
          <cell r="V602">
            <v>4025.290823</v>
          </cell>
        </row>
        <row r="602">
          <cell r="Y602">
            <v>1864.779026</v>
          </cell>
        </row>
        <row r="603">
          <cell r="C603" t="str">
            <v>2110302</v>
          </cell>
        </row>
        <row r="603">
          <cell r="V603">
            <v>2310</v>
          </cell>
        </row>
        <row r="603">
          <cell r="Y603">
            <v>564.064</v>
          </cell>
        </row>
        <row r="604">
          <cell r="C604">
            <v>2110302</v>
          </cell>
        </row>
        <row r="604">
          <cell r="V604">
            <v>0</v>
          </cell>
        </row>
        <row r="604">
          <cell r="Y604">
            <v>0</v>
          </cell>
        </row>
        <row r="605">
          <cell r="C605">
            <v>2110304</v>
          </cell>
        </row>
        <row r="605">
          <cell r="V605">
            <v>0</v>
          </cell>
        </row>
        <row r="605">
          <cell r="Y605">
            <v>0</v>
          </cell>
        </row>
        <row r="606">
          <cell r="C606">
            <v>2110299</v>
          </cell>
        </row>
        <row r="606">
          <cell r="V606">
            <v>11.4</v>
          </cell>
        </row>
        <row r="606">
          <cell r="Y606">
            <v>0</v>
          </cell>
        </row>
        <row r="607">
          <cell r="C607">
            <v>2110299</v>
          </cell>
        </row>
        <row r="607">
          <cell r="V607">
            <v>7.5</v>
          </cell>
        </row>
        <row r="607">
          <cell r="Y607">
            <v>0</v>
          </cell>
        </row>
        <row r="608">
          <cell r="C608">
            <v>2110299</v>
          </cell>
        </row>
        <row r="608">
          <cell r="V608">
            <v>0</v>
          </cell>
        </row>
        <row r="608">
          <cell r="Y608">
            <v>0</v>
          </cell>
        </row>
        <row r="609">
          <cell r="V609">
            <v>5450.52494</v>
          </cell>
        </row>
        <row r="609">
          <cell r="Y609">
            <v>5101.055025</v>
          </cell>
          <cell r="Z609">
            <v>0</v>
          </cell>
        </row>
        <row r="610">
          <cell r="C610" t="str">
            <v>2110499</v>
          </cell>
        </row>
        <row r="610">
          <cell r="V610">
            <v>270</v>
          </cell>
        </row>
        <row r="610">
          <cell r="Y610">
            <v>270</v>
          </cell>
        </row>
        <row r="611">
          <cell r="C611" t="str">
            <v>2200102</v>
          </cell>
        </row>
        <row r="611">
          <cell r="V611">
            <v>54</v>
          </cell>
        </row>
        <row r="611">
          <cell r="Y611">
            <v>1.336878</v>
          </cell>
        </row>
        <row r="612">
          <cell r="C612" t="str">
            <v>2200102</v>
          </cell>
        </row>
        <row r="612">
          <cell r="V612">
            <v>6.54</v>
          </cell>
        </row>
        <row r="612">
          <cell r="Y612">
            <v>6.24</v>
          </cell>
        </row>
        <row r="613">
          <cell r="C613" t="str">
            <v>2200102</v>
          </cell>
        </row>
        <row r="613">
          <cell r="V613">
            <v>12</v>
          </cell>
        </row>
        <row r="613">
          <cell r="Y613">
            <v>12</v>
          </cell>
        </row>
        <row r="614">
          <cell r="C614" t="str">
            <v>2200106</v>
          </cell>
        </row>
        <row r="614">
          <cell r="V614">
            <v>0</v>
          </cell>
        </row>
        <row r="614">
          <cell r="Y614">
            <v>0</v>
          </cell>
        </row>
        <row r="615">
          <cell r="C615" t="str">
            <v>2200106</v>
          </cell>
        </row>
        <row r="615">
          <cell r="V615">
            <v>4700</v>
          </cell>
        </row>
        <row r="615">
          <cell r="Y615">
            <v>4700</v>
          </cell>
        </row>
        <row r="616">
          <cell r="C616" t="str">
            <v>2200106</v>
          </cell>
        </row>
        <row r="616">
          <cell r="V616">
            <v>237.38</v>
          </cell>
        </row>
        <row r="616">
          <cell r="Y616">
            <v>0</v>
          </cell>
        </row>
        <row r="617">
          <cell r="C617" t="str">
            <v>2240601</v>
          </cell>
        </row>
        <row r="617">
          <cell r="V617">
            <v>96</v>
          </cell>
        </row>
        <row r="617">
          <cell r="Y617">
            <v>70.425207</v>
          </cell>
        </row>
        <row r="618">
          <cell r="C618" t="str">
            <v>2240601</v>
          </cell>
        </row>
        <row r="618">
          <cell r="V618">
            <v>8</v>
          </cell>
        </row>
        <row r="618">
          <cell r="Y618">
            <v>8</v>
          </cell>
        </row>
        <row r="619">
          <cell r="C619" t="str">
            <v>2240601</v>
          </cell>
        </row>
        <row r="619">
          <cell r="V619">
            <v>24.05294</v>
          </cell>
        </row>
        <row r="619">
          <cell r="Y619">
            <v>24.05294</v>
          </cell>
        </row>
        <row r="620">
          <cell r="C620" t="str">
            <v>2240601</v>
          </cell>
        </row>
        <row r="620">
          <cell r="V620">
            <v>42.552</v>
          </cell>
        </row>
        <row r="620">
          <cell r="Y620">
            <v>9</v>
          </cell>
        </row>
        <row r="621">
          <cell r="V621">
            <v>9.3</v>
          </cell>
        </row>
        <row r="621">
          <cell r="Y621">
            <v>5.86266</v>
          </cell>
          <cell r="Z621">
            <v>0</v>
          </cell>
        </row>
        <row r="622">
          <cell r="C622" t="str">
            <v>2200102</v>
          </cell>
        </row>
        <row r="622">
          <cell r="V622">
            <v>8</v>
          </cell>
        </row>
        <row r="622">
          <cell r="Y622">
            <v>4.56266</v>
          </cell>
        </row>
        <row r="623">
          <cell r="C623" t="str">
            <v>2200102</v>
          </cell>
        </row>
        <row r="623">
          <cell r="V623">
            <v>1.3</v>
          </cell>
        </row>
        <row r="623">
          <cell r="Y623">
            <v>1.3</v>
          </cell>
        </row>
        <row r="624">
          <cell r="V624">
            <v>2221.43338</v>
          </cell>
        </row>
        <row r="624">
          <cell r="Y624">
            <v>1707.46151</v>
          </cell>
          <cell r="Z624">
            <v>0</v>
          </cell>
        </row>
        <row r="625">
          <cell r="C625" t="str">
            <v>2010199</v>
          </cell>
        </row>
        <row r="625">
          <cell r="V625">
            <v>5</v>
          </cell>
        </row>
        <row r="625">
          <cell r="Y625">
            <v>2.8996</v>
          </cell>
        </row>
        <row r="626">
          <cell r="C626" t="str">
            <v>2010301</v>
          </cell>
        </row>
        <row r="626">
          <cell r="V626">
            <v>150</v>
          </cell>
        </row>
        <row r="626">
          <cell r="Y626">
            <v>150</v>
          </cell>
        </row>
        <row r="627">
          <cell r="C627" t="str">
            <v>2010302</v>
          </cell>
        </row>
        <row r="627">
          <cell r="V627">
            <v>7.2</v>
          </cell>
        </row>
        <row r="627">
          <cell r="Y627">
            <v>7.2</v>
          </cell>
        </row>
        <row r="628">
          <cell r="C628" t="str">
            <v>2010302</v>
          </cell>
        </row>
        <row r="628">
          <cell r="V628">
            <v>195.61</v>
          </cell>
        </row>
        <row r="628">
          <cell r="Y628">
            <v>113.473</v>
          </cell>
        </row>
        <row r="629">
          <cell r="C629" t="str">
            <v>2010302</v>
          </cell>
        </row>
        <row r="629">
          <cell r="V629">
            <v>2.4</v>
          </cell>
        </row>
        <row r="629">
          <cell r="Y629">
            <v>0.515</v>
          </cell>
        </row>
        <row r="630">
          <cell r="C630" t="str">
            <v>2010302</v>
          </cell>
        </row>
        <row r="630">
          <cell r="V630">
            <v>12.5</v>
          </cell>
        </row>
        <row r="630">
          <cell r="Y630">
            <v>4.791563</v>
          </cell>
        </row>
        <row r="631">
          <cell r="C631" t="str">
            <v>2010302</v>
          </cell>
        </row>
        <row r="631">
          <cell r="V631">
            <v>2.4</v>
          </cell>
        </row>
        <row r="631">
          <cell r="Y631">
            <v>1.232</v>
          </cell>
        </row>
        <row r="632">
          <cell r="C632" t="str">
            <v>2010302</v>
          </cell>
        </row>
        <row r="632">
          <cell r="V632">
            <v>9.69</v>
          </cell>
        </row>
        <row r="632">
          <cell r="Y632">
            <v>7.719876</v>
          </cell>
        </row>
        <row r="633">
          <cell r="C633" t="str">
            <v>2010302</v>
          </cell>
        </row>
        <row r="633">
          <cell r="V633">
            <v>26</v>
          </cell>
        </row>
        <row r="633">
          <cell r="Y633">
            <v>17.24054</v>
          </cell>
        </row>
        <row r="634">
          <cell r="C634" t="str">
            <v>2010302</v>
          </cell>
        </row>
        <row r="634">
          <cell r="V634">
            <v>90</v>
          </cell>
        </row>
        <row r="634">
          <cell r="Y634">
            <v>59.4</v>
          </cell>
        </row>
        <row r="635">
          <cell r="C635" t="str">
            <v>2010302</v>
          </cell>
        </row>
        <row r="635">
          <cell r="V635">
            <v>6</v>
          </cell>
        </row>
        <row r="635">
          <cell r="Y635">
            <v>2.744</v>
          </cell>
        </row>
        <row r="636">
          <cell r="C636" t="str">
            <v>2010302</v>
          </cell>
        </row>
        <row r="636">
          <cell r="V636">
            <v>18</v>
          </cell>
        </row>
        <row r="636">
          <cell r="Y636">
            <v>17.98</v>
          </cell>
        </row>
        <row r="637">
          <cell r="C637" t="str">
            <v>2011308</v>
          </cell>
        </row>
        <row r="637">
          <cell r="V637">
            <v>5</v>
          </cell>
        </row>
        <row r="637">
          <cell r="Y637">
            <v>1.922066</v>
          </cell>
        </row>
        <row r="638">
          <cell r="C638" t="str">
            <v>2070199</v>
          </cell>
        </row>
        <row r="638">
          <cell r="V638">
            <v>15.65</v>
          </cell>
        </row>
        <row r="638">
          <cell r="Y638">
            <v>11.583594</v>
          </cell>
        </row>
        <row r="639">
          <cell r="C639" t="str">
            <v>2070899</v>
          </cell>
        </row>
        <row r="639">
          <cell r="V639">
            <v>1.64</v>
          </cell>
        </row>
        <row r="639">
          <cell r="Y639">
            <v>1.64</v>
          </cell>
        </row>
        <row r="640">
          <cell r="C640" t="str">
            <v>2070899</v>
          </cell>
        </row>
        <row r="640">
          <cell r="V640">
            <v>5.21838</v>
          </cell>
        </row>
        <row r="640">
          <cell r="Y640">
            <v>4.259032</v>
          </cell>
        </row>
        <row r="641">
          <cell r="C641" t="str">
            <v>2070899</v>
          </cell>
        </row>
        <row r="641">
          <cell r="V641">
            <v>5</v>
          </cell>
        </row>
        <row r="641">
          <cell r="Y641">
            <v>5</v>
          </cell>
        </row>
        <row r="642">
          <cell r="C642" t="str">
            <v>2070899</v>
          </cell>
        </row>
        <row r="642">
          <cell r="V642">
            <v>9</v>
          </cell>
        </row>
        <row r="642">
          <cell r="Y642">
            <v>3.860476</v>
          </cell>
        </row>
        <row r="643">
          <cell r="C643" t="str">
            <v>2080208</v>
          </cell>
        </row>
        <row r="643">
          <cell r="V643">
            <v>15</v>
          </cell>
        </row>
        <row r="643">
          <cell r="Y643">
            <v>15</v>
          </cell>
        </row>
        <row r="644">
          <cell r="C644" t="str">
            <v>2080208</v>
          </cell>
        </row>
        <row r="644">
          <cell r="V644">
            <v>15</v>
          </cell>
        </row>
        <row r="644">
          <cell r="Y644">
            <v>0</v>
          </cell>
        </row>
        <row r="645">
          <cell r="C645" t="str">
            <v>2080208</v>
          </cell>
        </row>
        <row r="645">
          <cell r="V645">
            <v>5</v>
          </cell>
        </row>
        <row r="645">
          <cell r="Y645">
            <v>0</v>
          </cell>
        </row>
        <row r="646">
          <cell r="C646" t="str">
            <v>2080208</v>
          </cell>
        </row>
        <row r="646">
          <cell r="V646">
            <v>25.7</v>
          </cell>
        </row>
        <row r="646">
          <cell r="Y646">
            <v>20.557295</v>
          </cell>
        </row>
        <row r="647">
          <cell r="C647" t="str">
            <v>2100410</v>
          </cell>
        </row>
        <row r="647">
          <cell r="V647">
            <v>50</v>
          </cell>
        </row>
        <row r="647">
          <cell r="Y647">
            <v>50</v>
          </cell>
        </row>
        <row r="648">
          <cell r="C648" t="str">
            <v>2120104</v>
          </cell>
        </row>
        <row r="648">
          <cell r="V648">
            <v>178.875</v>
          </cell>
        </row>
        <row r="648">
          <cell r="Y648">
            <v>141.109935</v>
          </cell>
        </row>
        <row r="649">
          <cell r="C649" t="str">
            <v>2120501</v>
          </cell>
        </row>
        <row r="649">
          <cell r="V649">
            <v>116.2</v>
          </cell>
        </row>
        <row r="649">
          <cell r="Y649">
            <v>73.876168</v>
          </cell>
        </row>
        <row r="650">
          <cell r="C650" t="str">
            <v>2130199</v>
          </cell>
        </row>
        <row r="650">
          <cell r="V650">
            <v>117.34</v>
          </cell>
        </row>
        <row r="650">
          <cell r="Y650">
            <v>84.310761</v>
          </cell>
        </row>
        <row r="651">
          <cell r="C651" t="str">
            <v>2130399</v>
          </cell>
        </row>
        <row r="651">
          <cell r="V651">
            <v>6</v>
          </cell>
        </row>
        <row r="651">
          <cell r="Y651">
            <v>4.091084</v>
          </cell>
        </row>
        <row r="652">
          <cell r="C652" t="str">
            <v>2130504</v>
          </cell>
        </row>
        <row r="652">
          <cell r="V652">
            <v>7</v>
          </cell>
        </row>
        <row r="652">
          <cell r="Y652">
            <v>7</v>
          </cell>
        </row>
        <row r="653">
          <cell r="C653" t="str">
            <v>2130504</v>
          </cell>
        </row>
        <row r="653">
          <cell r="V653">
            <v>39</v>
          </cell>
        </row>
        <row r="653">
          <cell r="Y653">
            <v>39</v>
          </cell>
        </row>
        <row r="654">
          <cell r="C654" t="str">
            <v>2130701</v>
          </cell>
        </row>
        <row r="654">
          <cell r="V654">
            <v>17</v>
          </cell>
        </row>
        <row r="654">
          <cell r="Y654">
            <v>9</v>
          </cell>
        </row>
        <row r="655">
          <cell r="C655" t="str">
            <v>2130705</v>
          </cell>
        </row>
        <row r="655">
          <cell r="V655">
            <v>257.41</v>
          </cell>
        </row>
        <row r="655">
          <cell r="Y655">
            <v>257.41</v>
          </cell>
        </row>
        <row r="656">
          <cell r="C656" t="str">
            <v>2130705</v>
          </cell>
        </row>
        <row r="656">
          <cell r="V656">
            <v>48</v>
          </cell>
        </row>
        <row r="656">
          <cell r="Y656">
            <v>36</v>
          </cell>
        </row>
        <row r="657">
          <cell r="C657" t="str">
            <v>2130705</v>
          </cell>
        </row>
        <row r="657">
          <cell r="V657">
            <v>179.59</v>
          </cell>
        </row>
        <row r="657">
          <cell r="Y657">
            <v>179.59</v>
          </cell>
        </row>
        <row r="658">
          <cell r="C658" t="str">
            <v>2130705</v>
          </cell>
        </row>
        <row r="658">
          <cell r="V658">
            <v>336.71</v>
          </cell>
        </row>
        <row r="658">
          <cell r="Y658">
            <v>146.34897</v>
          </cell>
        </row>
        <row r="659">
          <cell r="C659" t="str">
            <v>2130799</v>
          </cell>
        </row>
        <row r="659">
          <cell r="V659">
            <v>0</v>
          </cell>
        </row>
        <row r="659">
          <cell r="Y659">
            <v>0</v>
          </cell>
        </row>
        <row r="660">
          <cell r="C660" t="str">
            <v>2130799</v>
          </cell>
        </row>
        <row r="660">
          <cell r="V660">
            <v>2.4</v>
          </cell>
        </row>
        <row r="660">
          <cell r="Y660">
            <v>2.4</v>
          </cell>
        </row>
        <row r="661">
          <cell r="C661" t="str">
            <v>2240106</v>
          </cell>
        </row>
        <row r="661">
          <cell r="V661">
            <v>28</v>
          </cell>
        </row>
        <row r="661">
          <cell r="Y661">
            <v>21</v>
          </cell>
        </row>
        <row r="662">
          <cell r="C662" t="str">
            <v>2299999</v>
          </cell>
        </row>
        <row r="662">
          <cell r="V662">
            <v>200</v>
          </cell>
        </row>
        <row r="662">
          <cell r="Y662">
            <v>200</v>
          </cell>
        </row>
        <row r="663">
          <cell r="C663" t="str">
            <v>2299999</v>
          </cell>
        </row>
        <row r="663">
          <cell r="V663">
            <v>2.4</v>
          </cell>
        </row>
        <row r="663">
          <cell r="Y663">
            <v>2.4</v>
          </cell>
        </row>
        <row r="664">
          <cell r="C664" t="str">
            <v>2299999</v>
          </cell>
        </row>
        <row r="664">
          <cell r="V664">
            <v>6</v>
          </cell>
        </row>
        <row r="664">
          <cell r="Y664">
            <v>2.40655</v>
          </cell>
        </row>
        <row r="665">
          <cell r="C665" t="str">
            <v>2299999</v>
          </cell>
        </row>
        <row r="665">
          <cell r="V665">
            <v>2.5</v>
          </cell>
        </row>
        <row r="665">
          <cell r="Y665">
            <v>2.5</v>
          </cell>
        </row>
        <row r="666">
          <cell r="V666">
            <v>109.7</v>
          </cell>
        </row>
        <row r="666">
          <cell r="Y666">
            <v>71.528511</v>
          </cell>
          <cell r="Z666">
            <v>0</v>
          </cell>
        </row>
        <row r="667">
          <cell r="C667" t="str">
            <v>2010499</v>
          </cell>
        </row>
        <row r="667">
          <cell r="V667">
            <v>10</v>
          </cell>
        </row>
        <row r="667">
          <cell r="Y667">
            <v>10</v>
          </cell>
        </row>
        <row r="668">
          <cell r="C668" t="str">
            <v>2010699</v>
          </cell>
        </row>
        <row r="668">
          <cell r="V668">
            <v>3</v>
          </cell>
        </row>
        <row r="668">
          <cell r="Y668">
            <v>3</v>
          </cell>
        </row>
        <row r="669">
          <cell r="C669" t="str">
            <v>2010699</v>
          </cell>
        </row>
        <row r="669">
          <cell r="V669">
            <v>13</v>
          </cell>
        </row>
        <row r="669">
          <cell r="Y669">
            <v>13</v>
          </cell>
        </row>
        <row r="670">
          <cell r="C670" t="str">
            <v>2010699</v>
          </cell>
        </row>
        <row r="670">
          <cell r="V670">
            <v>60</v>
          </cell>
        </row>
        <row r="670">
          <cell r="Y670">
            <v>43.515404</v>
          </cell>
        </row>
        <row r="671">
          <cell r="C671" t="str">
            <v>2010699</v>
          </cell>
        </row>
        <row r="671">
          <cell r="V671">
            <v>15</v>
          </cell>
        </row>
        <row r="671">
          <cell r="Y671">
            <v>0</v>
          </cell>
        </row>
        <row r="672">
          <cell r="C672" t="str">
            <v>2010699</v>
          </cell>
        </row>
        <row r="672">
          <cell r="V672">
            <v>3.7</v>
          </cell>
        </row>
        <row r="672">
          <cell r="Y672">
            <v>1.7</v>
          </cell>
        </row>
        <row r="673">
          <cell r="C673" t="str">
            <v>2299999</v>
          </cell>
        </row>
        <row r="673">
          <cell r="V673">
            <v>5</v>
          </cell>
        </row>
        <row r="673">
          <cell r="Y673">
            <v>0.313107</v>
          </cell>
        </row>
        <row r="674">
          <cell r="V674">
            <v>2398.956608</v>
          </cell>
        </row>
        <row r="674">
          <cell r="Y674">
            <v>1514.60443</v>
          </cell>
          <cell r="Z674">
            <v>0</v>
          </cell>
        </row>
        <row r="675">
          <cell r="C675" t="str">
            <v>2010199</v>
          </cell>
        </row>
        <row r="675">
          <cell r="V675">
            <v>5</v>
          </cell>
        </row>
        <row r="675">
          <cell r="Y675">
            <v>5</v>
          </cell>
        </row>
        <row r="676">
          <cell r="C676" t="str">
            <v>2010301</v>
          </cell>
        </row>
        <row r="676">
          <cell r="V676">
            <v>100</v>
          </cell>
        </row>
        <row r="676">
          <cell r="Y676">
            <v>100</v>
          </cell>
        </row>
        <row r="677">
          <cell r="C677" t="str">
            <v>2010302</v>
          </cell>
        </row>
        <row r="677">
          <cell r="V677">
            <v>14</v>
          </cell>
        </row>
        <row r="677">
          <cell r="Y677">
            <v>11.232</v>
          </cell>
        </row>
        <row r="678">
          <cell r="C678" t="str">
            <v>2010302</v>
          </cell>
        </row>
        <row r="678">
          <cell r="V678">
            <v>60</v>
          </cell>
        </row>
        <row r="678">
          <cell r="Y678">
            <v>30</v>
          </cell>
        </row>
        <row r="679">
          <cell r="C679" t="str">
            <v>2010302</v>
          </cell>
        </row>
        <row r="679">
          <cell r="V679">
            <v>2.4</v>
          </cell>
        </row>
        <row r="679">
          <cell r="Y679">
            <v>0.148</v>
          </cell>
        </row>
        <row r="680">
          <cell r="C680" t="str">
            <v>2010302</v>
          </cell>
        </row>
        <row r="680">
          <cell r="V680">
            <v>2.4</v>
          </cell>
        </row>
        <row r="680">
          <cell r="Y680">
            <v>0.79</v>
          </cell>
        </row>
        <row r="681">
          <cell r="C681" t="str">
            <v>2010302</v>
          </cell>
        </row>
        <row r="681">
          <cell r="V681">
            <v>117</v>
          </cell>
        </row>
        <row r="681">
          <cell r="Y681">
            <v>72.86578</v>
          </cell>
        </row>
        <row r="682">
          <cell r="C682" t="str">
            <v>2010302</v>
          </cell>
        </row>
        <row r="682">
          <cell r="V682">
            <v>5</v>
          </cell>
        </row>
        <row r="682">
          <cell r="Y682">
            <v>4.464</v>
          </cell>
        </row>
        <row r="683">
          <cell r="C683" t="str">
            <v>2010302</v>
          </cell>
        </row>
        <row r="683">
          <cell r="V683">
            <v>1</v>
          </cell>
        </row>
        <row r="683">
          <cell r="Y683">
            <v>0.475</v>
          </cell>
        </row>
        <row r="684">
          <cell r="C684" t="str">
            <v>2010302</v>
          </cell>
        </row>
        <row r="684">
          <cell r="V684">
            <v>448.2</v>
          </cell>
        </row>
        <row r="684">
          <cell r="Y684">
            <v>345.21946</v>
          </cell>
        </row>
        <row r="685">
          <cell r="C685" t="str">
            <v>2010499</v>
          </cell>
        </row>
        <row r="685">
          <cell r="V685">
            <v>5</v>
          </cell>
        </row>
        <row r="685">
          <cell r="Y685">
            <v>5</v>
          </cell>
        </row>
        <row r="686">
          <cell r="C686" t="str">
            <v>2010699</v>
          </cell>
        </row>
        <row r="686">
          <cell r="V686">
            <v>1</v>
          </cell>
        </row>
        <row r="686">
          <cell r="Y686">
            <v>1</v>
          </cell>
        </row>
        <row r="687">
          <cell r="C687" t="str">
            <v>2010699</v>
          </cell>
        </row>
        <row r="687">
          <cell r="V687">
            <v>4</v>
          </cell>
        </row>
        <row r="687">
          <cell r="Y687">
            <v>4</v>
          </cell>
        </row>
        <row r="688">
          <cell r="C688" t="str">
            <v>2010699</v>
          </cell>
        </row>
        <row r="688">
          <cell r="V688">
            <v>33.5</v>
          </cell>
        </row>
        <row r="688">
          <cell r="Y688">
            <v>17.393036</v>
          </cell>
        </row>
        <row r="689">
          <cell r="C689" t="str">
            <v>2010699</v>
          </cell>
        </row>
        <row r="689">
          <cell r="V689">
            <v>3</v>
          </cell>
        </row>
        <row r="689">
          <cell r="Y689">
            <v>0</v>
          </cell>
        </row>
        <row r="690">
          <cell r="C690" t="str">
            <v>2011308</v>
          </cell>
        </row>
        <row r="690">
          <cell r="V690">
            <v>5</v>
          </cell>
        </row>
        <row r="690">
          <cell r="Y690">
            <v>4.5616</v>
          </cell>
        </row>
        <row r="691">
          <cell r="C691" t="str">
            <v>2070199</v>
          </cell>
        </row>
        <row r="691">
          <cell r="V691">
            <v>4</v>
          </cell>
        </row>
        <row r="691">
          <cell r="Y691">
            <v>4</v>
          </cell>
        </row>
        <row r="692">
          <cell r="C692" t="str">
            <v>2070199</v>
          </cell>
        </row>
        <row r="692">
          <cell r="V692">
            <v>8</v>
          </cell>
        </row>
        <row r="692">
          <cell r="Y692">
            <v>5.999997</v>
          </cell>
        </row>
        <row r="693">
          <cell r="C693" t="str">
            <v>2070899</v>
          </cell>
        </row>
        <row r="693">
          <cell r="V693">
            <v>6.4</v>
          </cell>
        </row>
        <row r="693">
          <cell r="Y693">
            <v>6.4</v>
          </cell>
        </row>
        <row r="694">
          <cell r="C694" t="str">
            <v>2070899</v>
          </cell>
        </row>
        <row r="694">
          <cell r="V694">
            <v>12.5</v>
          </cell>
        </row>
        <row r="694">
          <cell r="Y694">
            <v>12.5</v>
          </cell>
        </row>
        <row r="695">
          <cell r="C695" t="str">
            <v>2070899</v>
          </cell>
        </row>
        <row r="695">
          <cell r="V695">
            <v>22.5</v>
          </cell>
        </row>
        <row r="695">
          <cell r="Y695">
            <v>11.5</v>
          </cell>
        </row>
        <row r="696">
          <cell r="C696" t="str">
            <v>2080208</v>
          </cell>
        </row>
        <row r="696">
          <cell r="V696">
            <v>45</v>
          </cell>
        </row>
        <row r="696">
          <cell r="Y696">
            <v>35.011164</v>
          </cell>
        </row>
        <row r="697">
          <cell r="C697" t="str">
            <v>2080208</v>
          </cell>
        </row>
        <row r="697">
          <cell r="V697">
            <v>29.861608</v>
          </cell>
        </row>
        <row r="697">
          <cell r="Y697">
            <v>29.861608</v>
          </cell>
        </row>
        <row r="698">
          <cell r="C698" t="str">
            <v>2080208</v>
          </cell>
        </row>
        <row r="698">
          <cell r="V698">
            <v>90</v>
          </cell>
        </row>
        <row r="698">
          <cell r="Y698">
            <v>28.217691</v>
          </cell>
        </row>
        <row r="699">
          <cell r="C699" t="str">
            <v>2080208</v>
          </cell>
        </row>
        <row r="699">
          <cell r="V699">
            <v>120</v>
          </cell>
        </row>
        <row r="699">
          <cell r="Y699">
            <v>0</v>
          </cell>
        </row>
        <row r="700">
          <cell r="C700" t="str">
            <v>2080208</v>
          </cell>
        </row>
        <row r="700">
          <cell r="V700">
            <v>450</v>
          </cell>
        </row>
        <row r="700">
          <cell r="Y700">
            <v>254.813928</v>
          </cell>
        </row>
        <row r="701">
          <cell r="C701" t="str">
            <v>2100410</v>
          </cell>
        </row>
        <row r="701">
          <cell r="V701">
            <v>100</v>
          </cell>
        </row>
        <row r="701">
          <cell r="Y701">
            <v>100</v>
          </cell>
        </row>
        <row r="702">
          <cell r="C702" t="str">
            <v>2120104</v>
          </cell>
        </row>
        <row r="702">
          <cell r="V702">
            <v>138.375</v>
          </cell>
        </row>
        <row r="702">
          <cell r="Y702">
            <v>100.754766</v>
          </cell>
        </row>
        <row r="703">
          <cell r="C703" t="str">
            <v>2120501</v>
          </cell>
        </row>
        <row r="703">
          <cell r="V703">
            <v>58.92</v>
          </cell>
        </row>
        <row r="703">
          <cell r="Y703">
            <v>36.69</v>
          </cell>
        </row>
        <row r="704">
          <cell r="C704" t="str">
            <v>2130199</v>
          </cell>
        </row>
        <row r="704">
          <cell r="V704">
            <v>6.2</v>
          </cell>
        </row>
        <row r="704">
          <cell r="Y704">
            <v>6.2</v>
          </cell>
        </row>
        <row r="705">
          <cell r="C705" t="str">
            <v>2130199</v>
          </cell>
        </row>
        <row r="705">
          <cell r="V705">
            <v>6</v>
          </cell>
        </row>
        <row r="705">
          <cell r="Y705">
            <v>0</v>
          </cell>
        </row>
        <row r="706">
          <cell r="C706" t="str">
            <v>2130199</v>
          </cell>
        </row>
        <row r="706">
          <cell r="V706">
            <v>10</v>
          </cell>
        </row>
        <row r="706">
          <cell r="Y706">
            <v>10</v>
          </cell>
        </row>
        <row r="707">
          <cell r="C707" t="str">
            <v>2130705</v>
          </cell>
        </row>
        <row r="707">
          <cell r="V707">
            <v>33.6</v>
          </cell>
        </row>
        <row r="707">
          <cell r="Y707">
            <v>25.2</v>
          </cell>
        </row>
        <row r="708">
          <cell r="C708" t="str">
            <v>2130705</v>
          </cell>
        </row>
        <row r="708">
          <cell r="V708">
            <v>47.3</v>
          </cell>
        </row>
        <row r="708">
          <cell r="Y708">
            <v>47.3</v>
          </cell>
        </row>
        <row r="709">
          <cell r="C709" t="str">
            <v>2130705</v>
          </cell>
        </row>
        <row r="709">
          <cell r="V709">
            <v>343</v>
          </cell>
        </row>
        <row r="709">
          <cell r="Y709">
            <v>170.5064</v>
          </cell>
        </row>
        <row r="710">
          <cell r="C710" t="str">
            <v>2130799</v>
          </cell>
        </row>
        <row r="710">
          <cell r="V710">
            <v>0</v>
          </cell>
        </row>
        <row r="710">
          <cell r="Y710">
            <v>0</v>
          </cell>
        </row>
        <row r="711">
          <cell r="C711" t="str">
            <v>2130799</v>
          </cell>
        </row>
        <row r="711">
          <cell r="V711">
            <v>0.3</v>
          </cell>
        </row>
        <row r="711">
          <cell r="Y711">
            <v>0</v>
          </cell>
        </row>
        <row r="712">
          <cell r="C712" t="str">
            <v>2240106</v>
          </cell>
        </row>
        <row r="712">
          <cell r="V712">
            <v>42</v>
          </cell>
        </row>
        <row r="712">
          <cell r="Y712">
            <v>21</v>
          </cell>
        </row>
        <row r="713">
          <cell r="C713" t="str">
            <v>2299999</v>
          </cell>
        </row>
        <row r="713">
          <cell r="V713">
            <v>6</v>
          </cell>
        </row>
        <row r="713">
          <cell r="Y713">
            <v>4.5</v>
          </cell>
        </row>
        <row r="714">
          <cell r="C714" t="str">
            <v>2299999</v>
          </cell>
        </row>
        <row r="714">
          <cell r="V714">
            <v>4.5</v>
          </cell>
        </row>
        <row r="714">
          <cell r="Y714">
            <v>2</v>
          </cell>
        </row>
        <row r="715">
          <cell r="C715">
            <v>2130119</v>
          </cell>
        </row>
        <row r="715">
          <cell r="V715">
            <v>1</v>
          </cell>
        </row>
        <row r="715">
          <cell r="Y715">
            <v>0</v>
          </cell>
        </row>
        <row r="716">
          <cell r="C716">
            <v>2130119</v>
          </cell>
        </row>
        <row r="716">
          <cell r="V716">
            <v>7</v>
          </cell>
        </row>
        <row r="716">
          <cell r="Y716">
            <v>0</v>
          </cell>
        </row>
        <row r="717">
          <cell r="V717">
            <v>2754.401508</v>
          </cell>
        </row>
        <row r="717">
          <cell r="Y717">
            <v>1961.473995</v>
          </cell>
          <cell r="Z717">
            <v>0</v>
          </cell>
        </row>
        <row r="718">
          <cell r="C718" t="str">
            <v>2010199</v>
          </cell>
        </row>
        <row r="718">
          <cell r="V718">
            <v>5</v>
          </cell>
        </row>
        <row r="718">
          <cell r="Y718">
            <v>2.8534</v>
          </cell>
        </row>
        <row r="719">
          <cell r="C719" t="str">
            <v>2010301</v>
          </cell>
        </row>
        <row r="719">
          <cell r="V719">
            <v>90</v>
          </cell>
        </row>
        <row r="719">
          <cell r="Y719">
            <v>49.186938</v>
          </cell>
        </row>
        <row r="720">
          <cell r="C720" t="str">
            <v>2010302</v>
          </cell>
        </row>
        <row r="720">
          <cell r="V720">
            <v>22</v>
          </cell>
        </row>
        <row r="720">
          <cell r="Y720">
            <v>22</v>
          </cell>
        </row>
        <row r="721">
          <cell r="C721" t="str">
            <v>2010302</v>
          </cell>
        </row>
        <row r="721">
          <cell r="V721">
            <v>2.188305</v>
          </cell>
        </row>
        <row r="721">
          <cell r="Y721">
            <v>2.188305</v>
          </cell>
        </row>
        <row r="722">
          <cell r="C722" t="str">
            <v>2010302</v>
          </cell>
        </row>
        <row r="722">
          <cell r="V722">
            <v>2.4</v>
          </cell>
        </row>
        <row r="722">
          <cell r="Y722">
            <v>1.0007</v>
          </cell>
        </row>
        <row r="723">
          <cell r="C723" t="str">
            <v>2010302</v>
          </cell>
        </row>
        <row r="723">
          <cell r="V723">
            <v>9</v>
          </cell>
        </row>
        <row r="723">
          <cell r="Y723">
            <v>0</v>
          </cell>
        </row>
        <row r="724">
          <cell r="C724" t="str">
            <v>2010302</v>
          </cell>
        </row>
        <row r="724">
          <cell r="V724">
            <v>47.1</v>
          </cell>
        </row>
        <row r="724">
          <cell r="Y724">
            <v>42.848759</v>
          </cell>
        </row>
        <row r="725">
          <cell r="C725" t="str">
            <v>2010302</v>
          </cell>
        </row>
        <row r="725">
          <cell r="V725">
            <v>24</v>
          </cell>
        </row>
        <row r="725">
          <cell r="Y725">
            <v>10.923673</v>
          </cell>
        </row>
        <row r="726">
          <cell r="C726" t="str">
            <v>2010302</v>
          </cell>
        </row>
        <row r="726">
          <cell r="V726">
            <v>14.1</v>
          </cell>
        </row>
        <row r="726">
          <cell r="Y726">
            <v>8.750473</v>
          </cell>
        </row>
        <row r="727">
          <cell r="C727" t="str">
            <v>2010302</v>
          </cell>
        </row>
        <row r="727">
          <cell r="V727">
            <v>2.4</v>
          </cell>
        </row>
        <row r="727">
          <cell r="Y727">
            <v>1.0846</v>
          </cell>
        </row>
        <row r="728">
          <cell r="C728" t="str">
            <v>2010302</v>
          </cell>
        </row>
        <row r="728">
          <cell r="V728">
            <v>5</v>
          </cell>
        </row>
        <row r="728">
          <cell r="Y728">
            <v>3.235</v>
          </cell>
        </row>
        <row r="729">
          <cell r="C729" t="str">
            <v>2011308</v>
          </cell>
        </row>
        <row r="729">
          <cell r="V729">
            <v>4.5</v>
          </cell>
        </row>
        <row r="729">
          <cell r="Y729">
            <v>2.7074</v>
          </cell>
        </row>
        <row r="730">
          <cell r="C730" t="str">
            <v>2070199</v>
          </cell>
        </row>
        <row r="730">
          <cell r="V730">
            <v>1.7552</v>
          </cell>
        </row>
        <row r="730">
          <cell r="Y730">
            <v>1.7552</v>
          </cell>
        </row>
        <row r="731">
          <cell r="C731" t="str">
            <v>2070199</v>
          </cell>
        </row>
        <row r="731">
          <cell r="V731">
            <v>3.8</v>
          </cell>
        </row>
        <row r="731">
          <cell r="Y731">
            <v>3.8</v>
          </cell>
        </row>
        <row r="732">
          <cell r="C732" t="str">
            <v>2070199</v>
          </cell>
        </row>
        <row r="732">
          <cell r="V732">
            <v>4.59</v>
          </cell>
        </row>
        <row r="732">
          <cell r="Y732">
            <v>3.2288</v>
          </cell>
        </row>
        <row r="733">
          <cell r="C733">
            <v>2070801</v>
          </cell>
        </row>
        <row r="733">
          <cell r="V733">
            <v>1.2</v>
          </cell>
        </row>
        <row r="733">
          <cell r="Y733">
            <v>1.2</v>
          </cell>
        </row>
        <row r="734">
          <cell r="C734" t="str">
            <v>2070899</v>
          </cell>
        </row>
        <row r="734">
          <cell r="V734">
            <v>5.13884</v>
          </cell>
        </row>
        <row r="734">
          <cell r="Y734">
            <v>5.13884</v>
          </cell>
        </row>
        <row r="735">
          <cell r="C735" t="str">
            <v>2070899</v>
          </cell>
        </row>
        <row r="735">
          <cell r="V735">
            <v>5</v>
          </cell>
        </row>
        <row r="735">
          <cell r="Y735">
            <v>4.8</v>
          </cell>
        </row>
        <row r="736">
          <cell r="C736" t="str">
            <v>2070899</v>
          </cell>
        </row>
        <row r="736">
          <cell r="V736">
            <v>7.8</v>
          </cell>
        </row>
        <row r="736">
          <cell r="Y736">
            <v>4.63947</v>
          </cell>
        </row>
        <row r="737">
          <cell r="C737" t="str">
            <v>2080208</v>
          </cell>
        </row>
        <row r="737">
          <cell r="V737">
            <v>5</v>
          </cell>
        </row>
        <row r="737">
          <cell r="Y737">
            <v>5</v>
          </cell>
        </row>
        <row r="738">
          <cell r="C738" t="str">
            <v>2080208</v>
          </cell>
        </row>
        <row r="738">
          <cell r="V738">
            <v>15</v>
          </cell>
        </row>
        <row r="738">
          <cell r="Y738">
            <v>0</v>
          </cell>
        </row>
        <row r="739">
          <cell r="C739" t="str">
            <v>2080208</v>
          </cell>
        </row>
        <row r="739">
          <cell r="V739">
            <v>5</v>
          </cell>
        </row>
        <row r="739">
          <cell r="Y739">
            <v>0</v>
          </cell>
        </row>
        <row r="740">
          <cell r="C740" t="str">
            <v>2081199</v>
          </cell>
        </row>
        <row r="740">
          <cell r="V740">
            <v>3</v>
          </cell>
        </row>
        <row r="740">
          <cell r="Y740">
            <v>0</v>
          </cell>
        </row>
        <row r="741">
          <cell r="C741" t="str">
            <v>2100410</v>
          </cell>
        </row>
        <row r="741">
          <cell r="V741">
            <v>20</v>
          </cell>
        </row>
        <row r="741">
          <cell r="Y741">
            <v>4.92</v>
          </cell>
        </row>
        <row r="742">
          <cell r="C742" t="str">
            <v>2120104</v>
          </cell>
        </row>
        <row r="742">
          <cell r="V742">
            <v>9.381308</v>
          </cell>
        </row>
        <row r="742">
          <cell r="Y742">
            <v>9.381308</v>
          </cell>
        </row>
        <row r="743">
          <cell r="C743" t="str">
            <v>2120104</v>
          </cell>
        </row>
        <row r="743">
          <cell r="V743">
            <v>46.396631</v>
          </cell>
        </row>
        <row r="743">
          <cell r="Y743">
            <v>46.396631</v>
          </cell>
        </row>
        <row r="744">
          <cell r="C744" t="str">
            <v>2120104</v>
          </cell>
        </row>
        <row r="744">
          <cell r="V744">
            <v>29.71</v>
          </cell>
        </row>
        <row r="744">
          <cell r="Y744">
            <v>22.38</v>
          </cell>
        </row>
        <row r="745">
          <cell r="C745" t="str">
            <v>2120104</v>
          </cell>
        </row>
        <row r="745">
          <cell r="V745">
            <v>180</v>
          </cell>
        </row>
        <row r="745">
          <cell r="Y745">
            <v>120</v>
          </cell>
        </row>
        <row r="746">
          <cell r="C746" t="str">
            <v>2120501</v>
          </cell>
        </row>
        <row r="746">
          <cell r="V746">
            <v>60.7</v>
          </cell>
        </row>
        <row r="746">
          <cell r="Y746">
            <v>43.68576</v>
          </cell>
        </row>
        <row r="747">
          <cell r="C747" t="str">
            <v>2120501</v>
          </cell>
        </row>
        <row r="747">
          <cell r="V747">
            <v>20.72</v>
          </cell>
        </row>
        <row r="747">
          <cell r="Y747">
            <v>15.579</v>
          </cell>
        </row>
        <row r="748">
          <cell r="C748" t="str">
            <v>2130119</v>
          </cell>
        </row>
        <row r="748">
          <cell r="V748">
            <v>3.72</v>
          </cell>
        </row>
        <row r="748">
          <cell r="Y748">
            <v>1.5</v>
          </cell>
        </row>
        <row r="749">
          <cell r="C749" t="str">
            <v>2130142</v>
          </cell>
        </row>
        <row r="749">
          <cell r="V749">
            <v>8</v>
          </cell>
        </row>
        <row r="749">
          <cell r="Y749">
            <v>5.8</v>
          </cell>
        </row>
        <row r="750">
          <cell r="C750" t="str">
            <v>2130199</v>
          </cell>
        </row>
        <row r="750">
          <cell r="V750">
            <v>25.750224</v>
          </cell>
        </row>
        <row r="750">
          <cell r="Y750">
            <v>25.750224</v>
          </cell>
        </row>
        <row r="751">
          <cell r="C751" t="str">
            <v>2130199</v>
          </cell>
        </row>
        <row r="751">
          <cell r="V751">
            <v>3.22</v>
          </cell>
        </row>
        <row r="751">
          <cell r="Y751">
            <v>3.22</v>
          </cell>
        </row>
        <row r="752">
          <cell r="C752" t="str">
            <v>2130199</v>
          </cell>
        </row>
        <row r="752">
          <cell r="V752">
            <v>103.17</v>
          </cell>
        </row>
        <row r="752">
          <cell r="Y752">
            <v>78.512</v>
          </cell>
        </row>
        <row r="753">
          <cell r="C753" t="str">
            <v>2130199</v>
          </cell>
        </row>
        <row r="753">
          <cell r="V753">
            <v>37.66</v>
          </cell>
        </row>
        <row r="753">
          <cell r="Y753">
            <v>21.827421</v>
          </cell>
        </row>
        <row r="754">
          <cell r="C754" t="str">
            <v>2130504</v>
          </cell>
        </row>
        <row r="754">
          <cell r="V754">
            <v>653</v>
          </cell>
        </row>
        <row r="754">
          <cell r="Y754">
            <v>400</v>
          </cell>
        </row>
        <row r="755">
          <cell r="C755" t="str">
            <v>2130504</v>
          </cell>
        </row>
        <row r="755">
          <cell r="V755">
            <v>24</v>
          </cell>
        </row>
        <row r="755">
          <cell r="Y755">
            <v>24</v>
          </cell>
        </row>
        <row r="756">
          <cell r="C756" t="str">
            <v>2130504</v>
          </cell>
        </row>
        <row r="756">
          <cell r="V756">
            <v>16</v>
          </cell>
        </row>
        <row r="756">
          <cell r="Y756">
            <v>16</v>
          </cell>
        </row>
        <row r="757">
          <cell r="C757" t="str">
            <v>2130701</v>
          </cell>
        </row>
        <row r="757">
          <cell r="V757">
            <v>16</v>
          </cell>
        </row>
        <row r="757">
          <cell r="Y757">
            <v>8</v>
          </cell>
        </row>
        <row r="758">
          <cell r="C758" t="str">
            <v>2130705</v>
          </cell>
        </row>
        <row r="758">
          <cell r="V758">
            <v>253.251</v>
          </cell>
        </row>
        <row r="758">
          <cell r="Y758">
            <v>253.25</v>
          </cell>
        </row>
        <row r="759">
          <cell r="C759" t="str">
            <v>2130705</v>
          </cell>
        </row>
        <row r="759">
          <cell r="V759">
            <v>413.07</v>
          </cell>
        </row>
        <row r="759">
          <cell r="Y759">
            <v>413.07</v>
          </cell>
        </row>
        <row r="760">
          <cell r="C760" t="str">
            <v>2130705</v>
          </cell>
        </row>
        <row r="760">
          <cell r="V760">
            <v>272.05</v>
          </cell>
        </row>
        <row r="760">
          <cell r="Y760">
            <v>32.74</v>
          </cell>
        </row>
        <row r="761">
          <cell r="C761" t="str">
            <v>2130705</v>
          </cell>
        </row>
        <row r="761">
          <cell r="V761">
            <v>67.2</v>
          </cell>
        </row>
        <row r="761">
          <cell r="Y761">
            <v>50.4</v>
          </cell>
        </row>
        <row r="762">
          <cell r="C762" t="str">
            <v>2240106</v>
          </cell>
        </row>
        <row r="762">
          <cell r="V762">
            <v>21</v>
          </cell>
        </row>
        <row r="762">
          <cell r="Y762">
            <v>10.789364</v>
          </cell>
        </row>
        <row r="763">
          <cell r="C763" t="str">
            <v>2240204</v>
          </cell>
        </row>
        <row r="763">
          <cell r="V763">
            <v>10</v>
          </cell>
        </row>
        <row r="763">
          <cell r="Y763">
            <v>8.734099</v>
          </cell>
        </row>
        <row r="764">
          <cell r="C764" t="str">
            <v>2240204</v>
          </cell>
        </row>
        <row r="764">
          <cell r="V764">
            <v>36</v>
          </cell>
        </row>
        <row r="764">
          <cell r="Y764">
            <v>30.26663</v>
          </cell>
        </row>
        <row r="765">
          <cell r="C765" t="str">
            <v>2299999</v>
          </cell>
        </row>
        <row r="765">
          <cell r="V765">
            <v>2.5</v>
          </cell>
        </row>
        <row r="765">
          <cell r="Y765">
            <v>2</v>
          </cell>
        </row>
        <row r="766">
          <cell r="C766" t="str">
            <v>2299999</v>
          </cell>
        </row>
        <row r="766">
          <cell r="V766">
            <v>136.93</v>
          </cell>
        </row>
        <row r="766">
          <cell r="Y766">
            <v>136.93</v>
          </cell>
        </row>
        <row r="767">
          <cell r="V767">
            <v>124</v>
          </cell>
        </row>
        <row r="767">
          <cell r="Y767">
            <v>98.499925</v>
          </cell>
          <cell r="Z767">
            <v>0</v>
          </cell>
        </row>
        <row r="768">
          <cell r="C768" t="str">
            <v>2010499</v>
          </cell>
        </row>
        <row r="768">
          <cell r="V768">
            <v>10</v>
          </cell>
        </row>
        <row r="768">
          <cell r="Y768">
            <v>8.0034</v>
          </cell>
        </row>
        <row r="769">
          <cell r="C769" t="str">
            <v>2010699</v>
          </cell>
        </row>
        <row r="769">
          <cell r="V769">
            <v>6</v>
          </cell>
        </row>
        <row r="769">
          <cell r="Y769">
            <v>6</v>
          </cell>
        </row>
        <row r="770">
          <cell r="C770" t="str">
            <v>2010699</v>
          </cell>
        </row>
        <row r="770">
          <cell r="V770">
            <v>29</v>
          </cell>
        </row>
        <row r="770">
          <cell r="Y770">
            <v>29</v>
          </cell>
        </row>
        <row r="771">
          <cell r="C771" t="str">
            <v>2010699</v>
          </cell>
        </row>
        <row r="771">
          <cell r="V771">
            <v>49.5</v>
          </cell>
        </row>
        <row r="771">
          <cell r="Y771">
            <v>34.863615</v>
          </cell>
        </row>
        <row r="772">
          <cell r="C772" t="str">
            <v>2010699</v>
          </cell>
        </row>
        <row r="772">
          <cell r="V772">
            <v>4.5</v>
          </cell>
        </row>
        <row r="772">
          <cell r="Y772">
            <v>3.13291</v>
          </cell>
        </row>
        <row r="773">
          <cell r="C773" t="str">
            <v>2010699</v>
          </cell>
        </row>
        <row r="773">
          <cell r="V773">
            <v>15</v>
          </cell>
        </row>
        <row r="773">
          <cell r="Y773">
            <v>7.5</v>
          </cell>
        </row>
        <row r="774">
          <cell r="C774" t="str">
            <v>2299999</v>
          </cell>
        </row>
        <row r="774">
          <cell r="V774">
            <v>10</v>
          </cell>
        </row>
        <row r="774">
          <cell r="Y774">
            <v>10</v>
          </cell>
        </row>
        <row r="775">
          <cell r="V775">
            <v>2386.919044</v>
          </cell>
        </row>
        <row r="775">
          <cell r="Y775">
            <v>1556.874683</v>
          </cell>
          <cell r="Z775">
            <v>0</v>
          </cell>
        </row>
        <row r="776">
          <cell r="C776" t="str">
            <v>2010199</v>
          </cell>
        </row>
        <row r="776">
          <cell r="V776">
            <v>5</v>
          </cell>
        </row>
        <row r="776">
          <cell r="Y776">
            <v>2.83792</v>
          </cell>
        </row>
        <row r="777">
          <cell r="C777" t="str">
            <v>2010301</v>
          </cell>
        </row>
        <row r="777">
          <cell r="V777">
            <v>100</v>
          </cell>
        </row>
        <row r="777">
          <cell r="Y777">
            <v>46.835608</v>
          </cell>
        </row>
        <row r="778">
          <cell r="C778" t="str">
            <v>2010302</v>
          </cell>
        </row>
        <row r="778">
          <cell r="V778">
            <v>2.4</v>
          </cell>
        </row>
        <row r="778">
          <cell r="Y778">
            <v>1.77958</v>
          </cell>
        </row>
        <row r="779">
          <cell r="C779" t="str">
            <v>2010302</v>
          </cell>
        </row>
        <row r="779">
          <cell r="V779">
            <v>22</v>
          </cell>
        </row>
        <row r="779">
          <cell r="Y779">
            <v>13.63846</v>
          </cell>
        </row>
        <row r="780">
          <cell r="C780" t="str">
            <v>2010302</v>
          </cell>
        </row>
        <row r="780">
          <cell r="V780">
            <v>8.16</v>
          </cell>
        </row>
        <row r="780">
          <cell r="Y780">
            <v>8.16</v>
          </cell>
        </row>
        <row r="781">
          <cell r="C781" t="str">
            <v>2010302</v>
          </cell>
        </row>
        <row r="781">
          <cell r="V781">
            <v>39.6</v>
          </cell>
        </row>
        <row r="781">
          <cell r="Y781">
            <v>32.881212</v>
          </cell>
        </row>
        <row r="782">
          <cell r="C782" t="str">
            <v>2010302</v>
          </cell>
        </row>
        <row r="782">
          <cell r="V782">
            <v>2.4</v>
          </cell>
        </row>
        <row r="782">
          <cell r="Y782">
            <v>1.1488</v>
          </cell>
        </row>
        <row r="783">
          <cell r="C783" t="str">
            <v>2010302</v>
          </cell>
        </row>
        <row r="783">
          <cell r="V783">
            <v>12</v>
          </cell>
        </row>
        <row r="783">
          <cell r="Y783">
            <v>4</v>
          </cell>
        </row>
        <row r="784">
          <cell r="C784" t="str">
            <v>2010302</v>
          </cell>
        </row>
        <row r="784">
          <cell r="V784">
            <v>5</v>
          </cell>
        </row>
        <row r="784">
          <cell r="Y784">
            <v>0</v>
          </cell>
        </row>
        <row r="785">
          <cell r="C785" t="str">
            <v>2010302</v>
          </cell>
        </row>
        <row r="785">
          <cell r="V785">
            <v>18</v>
          </cell>
        </row>
        <row r="785">
          <cell r="Y785">
            <v>16.98</v>
          </cell>
        </row>
        <row r="786">
          <cell r="C786" t="str">
            <v>2010302</v>
          </cell>
        </row>
        <row r="786">
          <cell r="V786">
            <v>130</v>
          </cell>
        </row>
        <row r="786">
          <cell r="Y786">
            <v>60</v>
          </cell>
        </row>
        <row r="787">
          <cell r="C787" t="str">
            <v>2011308</v>
          </cell>
        </row>
        <row r="787">
          <cell r="V787">
            <v>5</v>
          </cell>
        </row>
        <row r="787">
          <cell r="Y787">
            <v>3.381</v>
          </cell>
        </row>
        <row r="788">
          <cell r="C788" t="str">
            <v>2070199</v>
          </cell>
        </row>
        <row r="788">
          <cell r="V788">
            <v>4.52</v>
          </cell>
        </row>
        <row r="788">
          <cell r="Y788">
            <v>2.93115</v>
          </cell>
        </row>
        <row r="789">
          <cell r="C789" t="str">
            <v>2070199</v>
          </cell>
        </row>
        <row r="789">
          <cell r="V789">
            <v>14.8</v>
          </cell>
        </row>
        <row r="789">
          <cell r="Y789">
            <v>10.787295</v>
          </cell>
        </row>
        <row r="790">
          <cell r="C790" t="str">
            <v>2070899</v>
          </cell>
        </row>
        <row r="790">
          <cell r="V790">
            <v>5</v>
          </cell>
        </row>
        <row r="790">
          <cell r="Y790">
            <v>4.8</v>
          </cell>
        </row>
        <row r="791">
          <cell r="C791" t="str">
            <v>2070899</v>
          </cell>
        </row>
        <row r="791">
          <cell r="V791">
            <v>2.277595</v>
          </cell>
        </row>
        <row r="791">
          <cell r="Y791">
            <v>2.277595</v>
          </cell>
        </row>
        <row r="792">
          <cell r="C792" t="str">
            <v>2070899</v>
          </cell>
        </row>
        <row r="792">
          <cell r="V792">
            <v>9</v>
          </cell>
        </row>
        <row r="792">
          <cell r="Y792">
            <v>6</v>
          </cell>
        </row>
        <row r="793">
          <cell r="C793" t="str">
            <v>2081199</v>
          </cell>
        </row>
        <row r="793">
          <cell r="V793">
            <v>3</v>
          </cell>
        </row>
        <row r="793">
          <cell r="Y793">
            <v>0</v>
          </cell>
        </row>
        <row r="794">
          <cell r="C794" t="str">
            <v>2100410</v>
          </cell>
        </row>
        <row r="794">
          <cell r="V794">
            <v>250</v>
          </cell>
        </row>
        <row r="794">
          <cell r="Y794">
            <v>235.697588</v>
          </cell>
        </row>
        <row r="795">
          <cell r="C795" t="str">
            <v>2110304</v>
          </cell>
        </row>
        <row r="795">
          <cell r="V795">
            <v>20.46</v>
          </cell>
        </row>
        <row r="795">
          <cell r="Y795">
            <v>0</v>
          </cell>
        </row>
        <row r="796">
          <cell r="C796" t="str">
            <v>2120104</v>
          </cell>
        </row>
        <row r="796">
          <cell r="V796">
            <v>180</v>
          </cell>
        </row>
        <row r="796">
          <cell r="Y796">
            <v>131.078985</v>
          </cell>
        </row>
        <row r="797">
          <cell r="C797" t="str">
            <v>2120501</v>
          </cell>
        </row>
        <row r="797">
          <cell r="V797">
            <v>27.42</v>
          </cell>
        </row>
        <row r="797">
          <cell r="Y797">
            <v>27.42</v>
          </cell>
        </row>
        <row r="798">
          <cell r="C798" t="str">
            <v>2120501</v>
          </cell>
        </row>
        <row r="798">
          <cell r="V798">
            <v>50</v>
          </cell>
        </row>
        <row r="798">
          <cell r="Y798">
            <v>35.9817</v>
          </cell>
        </row>
        <row r="799">
          <cell r="C799" t="str">
            <v>2130199</v>
          </cell>
        </row>
        <row r="799">
          <cell r="V799">
            <v>47.2</v>
          </cell>
        </row>
        <row r="799">
          <cell r="Y799">
            <v>31.694822</v>
          </cell>
        </row>
        <row r="800">
          <cell r="C800" t="str">
            <v>2130199</v>
          </cell>
        </row>
        <row r="800">
          <cell r="V800">
            <v>54</v>
          </cell>
        </row>
        <row r="800">
          <cell r="Y800">
            <v>31.53194</v>
          </cell>
        </row>
        <row r="801">
          <cell r="C801" t="str">
            <v>2130199</v>
          </cell>
        </row>
        <row r="801">
          <cell r="V801">
            <v>3.229449</v>
          </cell>
        </row>
        <row r="801">
          <cell r="Y801">
            <v>3.229449</v>
          </cell>
        </row>
        <row r="802">
          <cell r="C802" t="str">
            <v>2130504</v>
          </cell>
        </row>
        <row r="802">
          <cell r="V802">
            <v>43</v>
          </cell>
        </row>
        <row r="802">
          <cell r="Y802">
            <v>43</v>
          </cell>
        </row>
        <row r="803">
          <cell r="C803" t="str">
            <v>2130504</v>
          </cell>
        </row>
        <row r="803">
          <cell r="V803">
            <v>32</v>
          </cell>
        </row>
        <row r="803">
          <cell r="Y803">
            <v>32</v>
          </cell>
        </row>
        <row r="804">
          <cell r="C804" t="str">
            <v>2130701</v>
          </cell>
        </row>
        <row r="804">
          <cell r="V804">
            <v>16</v>
          </cell>
        </row>
        <row r="804">
          <cell r="Y804">
            <v>0</v>
          </cell>
        </row>
        <row r="805">
          <cell r="C805" t="str">
            <v>2130705</v>
          </cell>
        </row>
        <row r="805">
          <cell r="V805">
            <v>363.452</v>
          </cell>
        </row>
        <row r="805">
          <cell r="Y805">
            <v>363.452</v>
          </cell>
        </row>
        <row r="806">
          <cell r="C806" t="str">
            <v>2130705</v>
          </cell>
        </row>
        <row r="806">
          <cell r="V806">
            <v>449.9</v>
          </cell>
        </row>
        <row r="806">
          <cell r="Y806">
            <v>301.835</v>
          </cell>
        </row>
        <row r="807">
          <cell r="C807" t="str">
            <v>2130705</v>
          </cell>
        </row>
        <row r="807">
          <cell r="V807">
            <v>76.8</v>
          </cell>
        </row>
        <row r="807">
          <cell r="Y807">
            <v>49.61083</v>
          </cell>
        </row>
        <row r="808">
          <cell r="C808" t="str">
            <v>2130705</v>
          </cell>
        </row>
        <row r="808">
          <cell r="V808">
            <v>321.8</v>
          </cell>
        </row>
        <row r="808">
          <cell r="Y808">
            <v>0</v>
          </cell>
        </row>
        <row r="809">
          <cell r="C809" t="str">
            <v>2240106</v>
          </cell>
        </row>
        <row r="809">
          <cell r="V809">
            <v>17.5</v>
          </cell>
        </row>
        <row r="809">
          <cell r="Y809">
            <v>13.125</v>
          </cell>
        </row>
        <row r="810">
          <cell r="C810" t="str">
            <v>2240204</v>
          </cell>
        </row>
        <row r="810">
          <cell r="V810">
            <v>36</v>
          </cell>
        </row>
        <row r="810">
          <cell r="Y810">
            <v>30.11969</v>
          </cell>
        </row>
        <row r="811">
          <cell r="C811" t="str">
            <v>2240204</v>
          </cell>
        </row>
        <row r="811">
          <cell r="V811">
            <v>10</v>
          </cell>
        </row>
        <row r="811">
          <cell r="Y811">
            <v>8.659059</v>
          </cell>
        </row>
        <row r="812">
          <cell r="V812">
            <v>119</v>
          </cell>
        </row>
        <row r="812">
          <cell r="Y812">
            <v>100.010707</v>
          </cell>
          <cell r="Z812">
            <v>0</v>
          </cell>
        </row>
        <row r="813">
          <cell r="C813" t="str">
            <v>2010499</v>
          </cell>
        </row>
        <row r="813">
          <cell r="V813">
            <v>10</v>
          </cell>
        </row>
        <row r="813">
          <cell r="Y813">
            <v>10</v>
          </cell>
        </row>
        <row r="814">
          <cell r="C814" t="str">
            <v>2010699</v>
          </cell>
        </row>
        <row r="814">
          <cell r="V814">
            <v>7</v>
          </cell>
        </row>
        <row r="814">
          <cell r="Y814">
            <v>7</v>
          </cell>
        </row>
        <row r="815">
          <cell r="C815" t="str">
            <v>2010699</v>
          </cell>
        </row>
        <row r="815">
          <cell r="V815">
            <v>32</v>
          </cell>
        </row>
        <row r="815">
          <cell r="Y815">
            <v>32</v>
          </cell>
        </row>
        <row r="816">
          <cell r="C816" t="str">
            <v>2010699</v>
          </cell>
        </row>
        <row r="816">
          <cell r="V816">
            <v>55</v>
          </cell>
        </row>
        <row r="816">
          <cell r="Y816">
            <v>36.010707</v>
          </cell>
        </row>
        <row r="817">
          <cell r="C817" t="str">
            <v>2010699</v>
          </cell>
        </row>
        <row r="817">
          <cell r="V817">
            <v>5</v>
          </cell>
        </row>
        <row r="817">
          <cell r="Y817">
            <v>5</v>
          </cell>
        </row>
        <row r="818">
          <cell r="C818" t="str">
            <v>2299999</v>
          </cell>
        </row>
        <row r="818">
          <cell r="V818">
            <v>10</v>
          </cell>
        </row>
        <row r="818">
          <cell r="Y818">
            <v>10</v>
          </cell>
        </row>
        <row r="819">
          <cell r="V819">
            <v>653.53</v>
          </cell>
        </row>
        <row r="819">
          <cell r="Y819">
            <v>397.266883</v>
          </cell>
          <cell r="Z819">
            <v>0</v>
          </cell>
        </row>
        <row r="820">
          <cell r="C820" t="str">
            <v>2010199</v>
          </cell>
        </row>
        <row r="820">
          <cell r="V820">
            <v>5</v>
          </cell>
        </row>
        <row r="820">
          <cell r="Y820">
            <v>0.7718</v>
          </cell>
        </row>
        <row r="821">
          <cell r="C821" t="str">
            <v>2010301</v>
          </cell>
        </row>
        <row r="821">
          <cell r="V821">
            <v>25</v>
          </cell>
        </row>
        <row r="821">
          <cell r="Y821">
            <v>24.714488</v>
          </cell>
        </row>
        <row r="822">
          <cell r="C822" t="str">
            <v>2010302</v>
          </cell>
        </row>
        <row r="822">
          <cell r="V822">
            <v>11.6</v>
          </cell>
        </row>
        <row r="822">
          <cell r="Y822">
            <v>1.545</v>
          </cell>
        </row>
        <row r="823">
          <cell r="C823" t="str">
            <v>2010302</v>
          </cell>
        </row>
        <row r="823">
          <cell r="V823">
            <v>10</v>
          </cell>
        </row>
        <row r="823">
          <cell r="Y823">
            <v>0</v>
          </cell>
        </row>
        <row r="824">
          <cell r="C824" t="str">
            <v>2010302</v>
          </cell>
        </row>
        <row r="824">
          <cell r="V824">
            <v>2.4</v>
          </cell>
        </row>
        <row r="824">
          <cell r="Y824">
            <v>2.0995</v>
          </cell>
        </row>
        <row r="825">
          <cell r="C825" t="str">
            <v>2010302</v>
          </cell>
        </row>
        <row r="825">
          <cell r="V825">
            <v>2</v>
          </cell>
        </row>
        <row r="825">
          <cell r="Y825">
            <v>0.63</v>
          </cell>
        </row>
        <row r="826">
          <cell r="C826" t="str">
            <v>2010302</v>
          </cell>
        </row>
        <row r="826">
          <cell r="V826">
            <v>1.53</v>
          </cell>
        </row>
        <row r="826">
          <cell r="Y826">
            <v>0.31</v>
          </cell>
        </row>
        <row r="827">
          <cell r="C827" t="str">
            <v>2010302</v>
          </cell>
        </row>
        <row r="827">
          <cell r="V827">
            <v>150</v>
          </cell>
        </row>
        <row r="827">
          <cell r="Y827">
            <v>40</v>
          </cell>
        </row>
        <row r="828">
          <cell r="C828" t="str">
            <v>2010302</v>
          </cell>
        </row>
        <row r="828">
          <cell r="V828">
            <v>55.84</v>
          </cell>
        </row>
        <row r="828">
          <cell r="Y828">
            <v>41.486436</v>
          </cell>
        </row>
        <row r="829">
          <cell r="C829" t="str">
            <v>2010302</v>
          </cell>
        </row>
        <row r="829">
          <cell r="V829">
            <v>5</v>
          </cell>
        </row>
        <row r="829">
          <cell r="Y829">
            <v>5</v>
          </cell>
        </row>
        <row r="830">
          <cell r="C830" t="str">
            <v>2010499</v>
          </cell>
        </row>
        <row r="830">
          <cell r="V830">
            <v>5</v>
          </cell>
        </row>
        <row r="830">
          <cell r="Y830">
            <v>5</v>
          </cell>
        </row>
        <row r="831">
          <cell r="C831" t="str">
            <v>2010699</v>
          </cell>
        </row>
        <row r="831">
          <cell r="V831">
            <v>12</v>
          </cell>
        </row>
        <row r="831">
          <cell r="Y831">
            <v>12</v>
          </cell>
        </row>
        <row r="832">
          <cell r="C832" t="str">
            <v>2010699</v>
          </cell>
        </row>
        <row r="832">
          <cell r="V832">
            <v>3</v>
          </cell>
        </row>
        <row r="832">
          <cell r="Y832">
            <v>3</v>
          </cell>
        </row>
        <row r="833">
          <cell r="C833" t="str">
            <v>2010699</v>
          </cell>
        </row>
        <row r="833">
          <cell r="V833">
            <v>18</v>
          </cell>
        </row>
        <row r="833">
          <cell r="Y833">
            <v>9.402659</v>
          </cell>
        </row>
        <row r="834">
          <cell r="C834" t="str">
            <v>2011308</v>
          </cell>
        </row>
        <row r="834">
          <cell r="V834">
            <v>5</v>
          </cell>
        </row>
        <row r="834">
          <cell r="Y834">
            <v>3.5822</v>
          </cell>
        </row>
        <row r="835">
          <cell r="C835" t="str">
            <v>2100410</v>
          </cell>
        </row>
        <row r="835">
          <cell r="V835">
            <v>5</v>
          </cell>
        </row>
        <row r="835">
          <cell r="Y835">
            <v>5</v>
          </cell>
        </row>
        <row r="836">
          <cell r="C836" t="str">
            <v>2120104</v>
          </cell>
        </row>
        <row r="836">
          <cell r="V836">
            <v>67.5</v>
          </cell>
        </row>
        <row r="836">
          <cell r="Y836">
            <v>50.625</v>
          </cell>
        </row>
        <row r="837">
          <cell r="C837" t="str">
            <v>2120501</v>
          </cell>
        </row>
        <row r="837">
          <cell r="V837">
            <v>23.5</v>
          </cell>
        </row>
        <row r="837">
          <cell r="Y837">
            <v>17.625</v>
          </cell>
        </row>
        <row r="838">
          <cell r="C838" t="str">
            <v>2130504</v>
          </cell>
        </row>
        <row r="838">
          <cell r="V838">
            <v>34</v>
          </cell>
        </row>
        <row r="838">
          <cell r="Y838">
            <v>34</v>
          </cell>
        </row>
        <row r="839">
          <cell r="C839" t="str">
            <v>2130504</v>
          </cell>
        </row>
        <row r="839">
          <cell r="V839">
            <v>15</v>
          </cell>
        </row>
        <row r="839">
          <cell r="Y839">
            <v>15</v>
          </cell>
        </row>
        <row r="840">
          <cell r="C840" t="str">
            <v>2130701</v>
          </cell>
        </row>
        <row r="840">
          <cell r="V840">
            <v>17</v>
          </cell>
        </row>
        <row r="840">
          <cell r="Y840">
            <v>10</v>
          </cell>
        </row>
        <row r="841">
          <cell r="C841" t="str">
            <v>2130705</v>
          </cell>
        </row>
        <row r="841">
          <cell r="V841">
            <v>14.4</v>
          </cell>
        </row>
        <row r="841">
          <cell r="Y841">
            <v>10.8</v>
          </cell>
        </row>
        <row r="842">
          <cell r="C842" t="str">
            <v>2130705</v>
          </cell>
        </row>
        <row r="842">
          <cell r="V842">
            <v>82.56</v>
          </cell>
        </row>
        <row r="842">
          <cell r="Y842">
            <v>65.1948</v>
          </cell>
        </row>
        <row r="843">
          <cell r="C843" t="str">
            <v>2130705</v>
          </cell>
        </row>
        <row r="843">
          <cell r="V843">
            <v>0</v>
          </cell>
        </row>
        <row r="843">
          <cell r="Y843">
            <v>0</v>
          </cell>
        </row>
        <row r="844">
          <cell r="C844" t="str">
            <v>2130705</v>
          </cell>
        </row>
        <row r="844">
          <cell r="V844">
            <v>55.2</v>
          </cell>
        </row>
        <row r="844">
          <cell r="Y844">
            <v>28.98</v>
          </cell>
        </row>
        <row r="845">
          <cell r="C845" t="str">
            <v>2240106</v>
          </cell>
        </row>
        <row r="845">
          <cell r="V845">
            <v>17.5</v>
          </cell>
        </row>
        <row r="845">
          <cell r="Y845">
            <v>10.5</v>
          </cell>
        </row>
        <row r="846">
          <cell r="C846" t="str">
            <v>2299999</v>
          </cell>
        </row>
        <row r="846">
          <cell r="V846">
            <v>10</v>
          </cell>
        </row>
        <row r="846">
          <cell r="Y846">
            <v>0</v>
          </cell>
        </row>
        <row r="847">
          <cell r="C847" t="str">
            <v>2299999</v>
          </cell>
        </row>
        <row r="847">
          <cell r="V847">
            <v>0.5</v>
          </cell>
        </row>
        <row r="847">
          <cell r="Y847">
            <v>0</v>
          </cell>
        </row>
        <row r="848">
          <cell r="V848">
            <v>862</v>
          </cell>
        </row>
        <row r="848">
          <cell r="Y848">
            <v>536.935588</v>
          </cell>
          <cell r="Z848">
            <v>0</v>
          </cell>
        </row>
        <row r="849">
          <cell r="C849" t="str">
            <v>2240204</v>
          </cell>
        </row>
        <row r="849">
          <cell r="V849">
            <v>670</v>
          </cell>
        </row>
        <row r="849">
          <cell r="Y849">
            <v>390.449718</v>
          </cell>
        </row>
        <row r="850">
          <cell r="C850" t="str">
            <v>2240204</v>
          </cell>
        </row>
        <row r="850">
          <cell r="V850">
            <v>192</v>
          </cell>
        </row>
        <row r="850">
          <cell r="Y850">
            <v>146.48587</v>
          </cell>
        </row>
        <row r="851">
          <cell r="C851" t="str">
            <v>2240204</v>
          </cell>
        </row>
        <row r="851">
          <cell r="V851">
            <v>0</v>
          </cell>
        </row>
        <row r="851">
          <cell r="Y851">
            <v>0</v>
          </cell>
        </row>
        <row r="852">
          <cell r="C852" t="str">
            <v>2240204</v>
          </cell>
        </row>
        <row r="852">
          <cell r="V852">
            <v>0</v>
          </cell>
        </row>
        <row r="852">
          <cell r="Y852">
            <v>0</v>
          </cell>
        </row>
        <row r="853">
          <cell r="V853">
            <v>100</v>
          </cell>
        </row>
        <row r="853">
          <cell r="Y853">
            <v>100</v>
          </cell>
          <cell r="Z853">
            <v>0</v>
          </cell>
        </row>
        <row r="854">
          <cell r="C854" t="str">
            <v>2110302</v>
          </cell>
        </row>
        <row r="854">
          <cell r="V854">
            <v>50</v>
          </cell>
        </row>
        <row r="854">
          <cell r="Y854">
            <v>50</v>
          </cell>
        </row>
        <row r="855">
          <cell r="C855" t="str">
            <v>2120399</v>
          </cell>
        </row>
        <row r="855">
          <cell r="V855">
            <v>50</v>
          </cell>
        </row>
        <row r="855">
          <cell r="Y855">
            <v>50</v>
          </cell>
        </row>
        <row r="856">
          <cell r="V856">
            <v>1100</v>
          </cell>
        </row>
        <row r="856">
          <cell r="Y856">
            <v>895.74575</v>
          </cell>
          <cell r="Z856">
            <v>0</v>
          </cell>
        </row>
        <row r="857">
          <cell r="C857" t="str">
            <v>2110302</v>
          </cell>
        </row>
        <row r="857">
          <cell r="V857">
            <v>1100</v>
          </cell>
        </row>
        <row r="857">
          <cell r="Y857">
            <v>895.74575</v>
          </cell>
        </row>
        <row r="858">
          <cell r="V858">
            <v>289.943</v>
          </cell>
        </row>
        <row r="858">
          <cell r="Y858">
            <v>159.943</v>
          </cell>
          <cell r="Z858">
            <v>0</v>
          </cell>
        </row>
        <row r="859">
          <cell r="C859" t="str">
            <v>2130122</v>
          </cell>
        </row>
        <row r="859">
          <cell r="V859">
            <v>59.943</v>
          </cell>
        </row>
        <row r="859">
          <cell r="Y859">
            <v>59.943</v>
          </cell>
        </row>
        <row r="860">
          <cell r="C860" t="str">
            <v>2130122</v>
          </cell>
        </row>
        <row r="860">
          <cell r="V860">
            <v>100</v>
          </cell>
        </row>
        <row r="860">
          <cell r="Y860">
            <v>100</v>
          </cell>
        </row>
        <row r="861">
          <cell r="C861" t="str">
            <v>2130504</v>
          </cell>
        </row>
        <row r="861">
          <cell r="V861">
            <v>130</v>
          </cell>
        </row>
        <row r="861">
          <cell r="Y861">
            <v>0</v>
          </cell>
        </row>
        <row r="862">
          <cell r="C862" t="str">
            <v>2130504</v>
          </cell>
        </row>
        <row r="862">
          <cell r="V862">
            <v>0</v>
          </cell>
        </row>
        <row r="862">
          <cell r="Y862">
            <v>0</v>
          </cell>
        </row>
        <row r="863">
          <cell r="V863">
            <v>1327.6</v>
          </cell>
        </row>
        <row r="863">
          <cell r="Y863">
            <v>1008.016042</v>
          </cell>
          <cell r="Z863">
            <v>0</v>
          </cell>
        </row>
        <row r="864">
          <cell r="C864" t="str">
            <v>2080507</v>
          </cell>
        </row>
        <row r="864">
          <cell r="V864">
            <v>427</v>
          </cell>
        </row>
        <row r="864">
          <cell r="Y864">
            <v>427</v>
          </cell>
        </row>
        <row r="865">
          <cell r="C865" t="str">
            <v>2080508</v>
          </cell>
        </row>
        <row r="865">
          <cell r="V865">
            <v>405</v>
          </cell>
        </row>
        <row r="865">
          <cell r="Y865">
            <v>307.016042</v>
          </cell>
        </row>
        <row r="866">
          <cell r="C866">
            <v>2080199</v>
          </cell>
        </row>
        <row r="866">
          <cell r="V866">
            <v>43.7</v>
          </cell>
        </row>
        <row r="866">
          <cell r="Y866">
            <v>0</v>
          </cell>
        </row>
        <row r="867">
          <cell r="C867">
            <v>2080199</v>
          </cell>
        </row>
        <row r="867">
          <cell r="V867">
            <v>23.5</v>
          </cell>
        </row>
        <row r="867">
          <cell r="Y867">
            <v>0</v>
          </cell>
        </row>
        <row r="868">
          <cell r="C868">
            <v>2089999</v>
          </cell>
        </row>
        <row r="868">
          <cell r="V868">
            <v>0</v>
          </cell>
        </row>
        <row r="868">
          <cell r="Y868">
            <v>0</v>
          </cell>
        </row>
        <row r="869">
          <cell r="C869">
            <v>2100399</v>
          </cell>
        </row>
        <row r="869">
          <cell r="V869">
            <v>68</v>
          </cell>
        </row>
        <row r="869">
          <cell r="Y869">
            <v>0</v>
          </cell>
        </row>
        <row r="870">
          <cell r="C870">
            <v>2100408</v>
          </cell>
        </row>
        <row r="870">
          <cell r="V870">
            <v>10</v>
          </cell>
        </row>
        <row r="870">
          <cell r="Y870">
            <v>0</v>
          </cell>
        </row>
        <row r="871">
          <cell r="C871">
            <v>2100717</v>
          </cell>
        </row>
        <row r="871">
          <cell r="V871">
            <v>73</v>
          </cell>
        </row>
        <row r="871">
          <cell r="Y871">
            <v>0</v>
          </cell>
        </row>
        <row r="872">
          <cell r="C872" t="str">
            <v>2101301</v>
          </cell>
        </row>
        <row r="872">
          <cell r="V872">
            <v>274</v>
          </cell>
        </row>
        <row r="872">
          <cell r="Y872">
            <v>274</v>
          </cell>
        </row>
        <row r="873">
          <cell r="C873">
            <v>2012999</v>
          </cell>
        </row>
        <row r="873">
          <cell r="V873">
            <v>3.4</v>
          </cell>
        </row>
        <row r="873">
          <cell r="Y873">
            <v>0</v>
          </cell>
        </row>
        <row r="874">
          <cell r="V874">
            <v>6703.6</v>
          </cell>
        </row>
        <row r="874">
          <cell r="Y874">
            <v>2900</v>
          </cell>
          <cell r="Z874">
            <v>0</v>
          </cell>
        </row>
        <row r="875">
          <cell r="C875" t="str">
            <v>2110304</v>
          </cell>
        </row>
        <row r="875">
          <cell r="V875">
            <v>700</v>
          </cell>
        </row>
        <row r="875">
          <cell r="Y875">
            <v>700</v>
          </cell>
        </row>
        <row r="876">
          <cell r="C876" t="str">
            <v>2119999</v>
          </cell>
        </row>
        <row r="876">
          <cell r="V876">
            <v>1600</v>
          </cell>
        </row>
        <row r="876">
          <cell r="Y876">
            <v>400</v>
          </cell>
        </row>
        <row r="877">
          <cell r="C877" t="str">
            <v>2119999</v>
          </cell>
        </row>
        <row r="877">
          <cell r="V877">
            <v>30</v>
          </cell>
        </row>
        <row r="877">
          <cell r="Y877">
            <v>0</v>
          </cell>
        </row>
        <row r="878">
          <cell r="C878">
            <v>2129999</v>
          </cell>
        </row>
        <row r="878">
          <cell r="V878">
            <v>20</v>
          </cell>
        </row>
        <row r="878">
          <cell r="Y878">
            <v>0</v>
          </cell>
        </row>
        <row r="879">
          <cell r="C879">
            <v>2130205</v>
          </cell>
        </row>
        <row r="879">
          <cell r="V879">
            <v>20</v>
          </cell>
        </row>
        <row r="879">
          <cell r="Y879">
            <v>0</v>
          </cell>
        </row>
        <row r="880">
          <cell r="C880">
            <v>2130299</v>
          </cell>
        </row>
        <row r="880">
          <cell r="V880">
            <v>13.6</v>
          </cell>
        </row>
        <row r="880">
          <cell r="Y880">
            <v>0</v>
          </cell>
        </row>
        <row r="881">
          <cell r="C881">
            <v>2130299</v>
          </cell>
        </row>
        <row r="881">
          <cell r="V881">
            <v>10</v>
          </cell>
        </row>
        <row r="881">
          <cell r="Y881">
            <v>0</v>
          </cell>
        </row>
        <row r="882">
          <cell r="C882">
            <v>2169999</v>
          </cell>
        </row>
        <row r="882">
          <cell r="V882">
            <v>800</v>
          </cell>
        </row>
        <row r="882">
          <cell r="Y882">
            <v>0</v>
          </cell>
        </row>
        <row r="883">
          <cell r="C883">
            <v>2249999</v>
          </cell>
        </row>
        <row r="883">
          <cell r="V883">
            <v>10</v>
          </cell>
        </row>
        <row r="883">
          <cell r="Y883">
            <v>0</v>
          </cell>
        </row>
        <row r="884">
          <cell r="C884" t="str">
            <v>2299999</v>
          </cell>
        </row>
        <row r="884">
          <cell r="V884">
            <v>1500</v>
          </cell>
        </row>
        <row r="884">
          <cell r="Y884">
            <v>1500</v>
          </cell>
        </row>
        <row r="885">
          <cell r="C885">
            <v>2200199</v>
          </cell>
        </row>
        <row r="885">
          <cell r="V885">
            <v>0</v>
          </cell>
        </row>
        <row r="885">
          <cell r="Y885">
            <v>0</v>
          </cell>
        </row>
        <row r="886">
          <cell r="V886">
            <v>0</v>
          </cell>
        </row>
        <row r="886">
          <cell r="Y886">
            <v>0</v>
          </cell>
        </row>
        <row r="887">
          <cell r="V887">
            <v>0</v>
          </cell>
        </row>
        <row r="887">
          <cell r="Y887">
            <v>0</v>
          </cell>
        </row>
        <row r="888">
          <cell r="V888">
            <v>0</v>
          </cell>
        </row>
        <row r="888">
          <cell r="Y888">
            <v>0</v>
          </cell>
        </row>
        <row r="889">
          <cell r="V889">
            <v>0</v>
          </cell>
        </row>
        <row r="889">
          <cell r="Y889">
            <v>0</v>
          </cell>
        </row>
        <row r="890">
          <cell r="C890">
            <v>2069901</v>
          </cell>
        </row>
        <row r="890">
          <cell r="V890">
            <v>1700</v>
          </cell>
        </row>
        <row r="890">
          <cell r="Y890">
            <v>0</v>
          </cell>
        </row>
        <row r="891">
          <cell r="C891" t="str">
            <v>2150299</v>
          </cell>
        </row>
        <row r="891">
          <cell r="V891">
            <v>300</v>
          </cell>
        </row>
        <row r="891">
          <cell r="Y891">
            <v>300</v>
          </cell>
        </row>
        <row r="892">
          <cell r="V892">
            <v>1655</v>
          </cell>
        </row>
        <row r="892">
          <cell r="Y892">
            <v>15</v>
          </cell>
          <cell r="Z892">
            <v>1400</v>
          </cell>
        </row>
        <row r="893">
          <cell r="C893" t="str">
            <v>2010710</v>
          </cell>
        </row>
        <row r="893">
          <cell r="V893">
            <v>1600</v>
          </cell>
        </row>
        <row r="893">
          <cell r="Y893">
            <v>0</v>
          </cell>
          <cell r="Z893">
            <v>1400</v>
          </cell>
        </row>
        <row r="894">
          <cell r="C894" t="str">
            <v>227</v>
          </cell>
        </row>
        <row r="894">
          <cell r="V894">
            <v>0</v>
          </cell>
        </row>
        <row r="894">
          <cell r="Y894">
            <v>0</v>
          </cell>
        </row>
        <row r="895">
          <cell r="C895" t="str">
            <v>2290201</v>
          </cell>
        </row>
        <row r="895">
          <cell r="V895">
            <v>0</v>
          </cell>
        </row>
        <row r="895">
          <cell r="Y895">
            <v>0</v>
          </cell>
        </row>
        <row r="896">
          <cell r="C896" t="str">
            <v>2299999</v>
          </cell>
        </row>
        <row r="896">
          <cell r="V896">
            <v>15</v>
          </cell>
        </row>
        <row r="896">
          <cell r="Y896">
            <v>15</v>
          </cell>
        </row>
        <row r="897">
          <cell r="C897" t="str">
            <v>2299999</v>
          </cell>
        </row>
        <row r="897">
          <cell r="V897">
            <v>35</v>
          </cell>
        </row>
        <row r="897">
          <cell r="Y897">
            <v>0</v>
          </cell>
        </row>
        <row r="898">
          <cell r="V898">
            <v>0</v>
          </cell>
        </row>
        <row r="898">
          <cell r="Y898">
            <v>0</v>
          </cell>
        </row>
        <row r="899">
          <cell r="C899">
            <v>2040299</v>
          </cell>
        </row>
        <row r="899">
          <cell r="V899">
            <v>5</v>
          </cell>
        </row>
        <row r="899">
          <cell r="Y899">
            <v>0</v>
          </cell>
        </row>
        <row r="900">
          <cell r="V900">
            <v>827.947859</v>
          </cell>
        </row>
        <row r="900">
          <cell r="Y900">
            <v>0</v>
          </cell>
          <cell r="Z900">
            <v>0</v>
          </cell>
        </row>
        <row r="901">
          <cell r="C901" t="str">
            <v>2290201</v>
          </cell>
        </row>
        <row r="901">
          <cell r="V901">
            <v>0</v>
          </cell>
        </row>
        <row r="901">
          <cell r="Y901">
            <v>0</v>
          </cell>
        </row>
        <row r="902">
          <cell r="C902" t="str">
            <v>2290201</v>
          </cell>
        </row>
        <row r="902">
          <cell r="V902">
            <v>228</v>
          </cell>
        </row>
        <row r="902">
          <cell r="Y902">
            <v>0</v>
          </cell>
        </row>
        <row r="903">
          <cell r="C903" t="str">
            <v>2290201</v>
          </cell>
        </row>
        <row r="903">
          <cell r="V903">
            <v>594.947859</v>
          </cell>
        </row>
        <row r="903">
          <cell r="Y903">
            <v>0</v>
          </cell>
        </row>
        <row r="904">
          <cell r="C904" t="str">
            <v>2290201</v>
          </cell>
        </row>
        <row r="904">
          <cell r="V904">
            <v>0</v>
          </cell>
        </row>
        <row r="904">
          <cell r="Y904">
            <v>0</v>
          </cell>
        </row>
        <row r="905">
          <cell r="C905" t="str">
            <v>2299999</v>
          </cell>
        </row>
        <row r="905">
          <cell r="V905">
            <v>5</v>
          </cell>
        </row>
        <row r="905">
          <cell r="Y905">
            <v>0</v>
          </cell>
        </row>
        <row r="906">
          <cell r="V906">
            <v>25254</v>
          </cell>
        </row>
        <row r="906">
          <cell r="Y906">
            <v>4823.864216</v>
          </cell>
          <cell r="Z906">
            <v>17041</v>
          </cell>
        </row>
        <row r="907">
          <cell r="C907" t="str">
            <v>2310301</v>
          </cell>
        </row>
        <row r="907">
          <cell r="V907">
            <v>20454</v>
          </cell>
        </row>
        <row r="907">
          <cell r="Y907">
            <v>3413</v>
          </cell>
          <cell r="Z907">
            <v>17041</v>
          </cell>
        </row>
        <row r="908">
          <cell r="C908" t="str">
            <v>2320301</v>
          </cell>
        </row>
        <row r="908">
          <cell r="V908">
            <v>3350</v>
          </cell>
        </row>
        <row r="908">
          <cell r="Y908">
            <v>1410.864216</v>
          </cell>
        </row>
        <row r="909">
          <cell r="C909" t="str">
            <v>23303</v>
          </cell>
        </row>
        <row r="909">
          <cell r="V909">
            <v>50</v>
          </cell>
        </row>
        <row r="909">
          <cell r="Y909">
            <v>0</v>
          </cell>
        </row>
        <row r="910">
          <cell r="C910">
            <v>2050203</v>
          </cell>
        </row>
        <row r="910">
          <cell r="V910">
            <v>386</v>
          </cell>
        </row>
        <row r="910">
          <cell r="Y910">
            <v>0</v>
          </cell>
        </row>
        <row r="911">
          <cell r="C911">
            <v>2130504</v>
          </cell>
        </row>
        <row r="911">
          <cell r="V911">
            <v>1014</v>
          </cell>
        </row>
        <row r="911">
          <cell r="Y911">
            <v>0</v>
          </cell>
        </row>
        <row r="912">
          <cell r="V912">
            <v>0</v>
          </cell>
        </row>
        <row r="912">
          <cell r="Y912">
            <v>0</v>
          </cell>
          <cell r="Z912">
            <v>0</v>
          </cell>
        </row>
        <row r="913">
          <cell r="C913" t="str">
            <v>2069999</v>
          </cell>
        </row>
        <row r="913">
          <cell r="V913">
            <v>0</v>
          </cell>
        </row>
        <row r="913">
          <cell r="Y913">
            <v>0</v>
          </cell>
        </row>
        <row r="914">
          <cell r="V914">
            <v>228.106511</v>
          </cell>
        </row>
        <row r="914">
          <cell r="Y914">
            <v>387.225055</v>
          </cell>
          <cell r="Z914">
            <v>0</v>
          </cell>
        </row>
        <row r="915">
          <cell r="C915" t="str">
            <v>2069999</v>
          </cell>
        </row>
        <row r="915">
          <cell r="V915">
            <v>100</v>
          </cell>
        </row>
        <row r="915">
          <cell r="Y915">
            <v>100</v>
          </cell>
        </row>
        <row r="916">
          <cell r="C916" t="str">
            <v>2100410</v>
          </cell>
        </row>
        <row r="916">
          <cell r="V916">
            <v>0</v>
          </cell>
        </row>
        <row r="916">
          <cell r="Y916">
            <v>0</v>
          </cell>
        </row>
        <row r="917">
          <cell r="C917" t="str">
            <v>2130803</v>
          </cell>
        </row>
        <row r="917">
          <cell r="V917">
            <v>28</v>
          </cell>
        </row>
        <row r="917">
          <cell r="Y917">
            <v>8.332275</v>
          </cell>
        </row>
        <row r="918">
          <cell r="C918" t="str">
            <v>2130803</v>
          </cell>
        </row>
        <row r="918">
          <cell r="V918">
            <v>2</v>
          </cell>
        </row>
        <row r="918">
          <cell r="Y918">
            <v>2</v>
          </cell>
        </row>
        <row r="919">
          <cell r="C919" t="str">
            <v>2130803</v>
          </cell>
        </row>
        <row r="919">
          <cell r="V919">
            <v>19.044406</v>
          </cell>
        </row>
        <row r="919">
          <cell r="Y919">
            <v>19.044406</v>
          </cell>
        </row>
        <row r="920">
          <cell r="C920" t="str">
            <v>2130803</v>
          </cell>
        </row>
        <row r="920">
          <cell r="V920">
            <v>6</v>
          </cell>
        </row>
        <row r="920">
          <cell r="Y920">
            <v>0</v>
          </cell>
        </row>
        <row r="921">
          <cell r="C921">
            <v>2179999</v>
          </cell>
        </row>
        <row r="921">
          <cell r="V921">
            <v>71.062105</v>
          </cell>
        </row>
        <row r="921">
          <cell r="Y921">
            <v>257.848374</v>
          </cell>
        </row>
        <row r="922">
          <cell r="C922">
            <v>2130803</v>
          </cell>
        </row>
        <row r="922">
          <cell r="V922">
            <v>2</v>
          </cell>
        </row>
        <row r="922">
          <cell r="Y922">
            <v>0</v>
          </cell>
        </row>
        <row r="923">
          <cell r="V923" t="str">
            <v>调整后项目支出合计：</v>
          </cell>
        </row>
        <row r="924">
          <cell r="V924" t="str">
            <v>项目类人员支出</v>
          </cell>
        </row>
        <row r="925">
          <cell r="V925" t="str">
            <v>年初预算-项目支出</v>
          </cell>
        </row>
        <row r="926">
          <cell r="V926" t="str">
            <v>上年结转</v>
          </cell>
        </row>
        <row r="927">
          <cell r="V927" t="str">
            <v>转移支付及债券</v>
          </cell>
        </row>
        <row r="928">
          <cell r="V928" t="str">
            <v>追加</v>
          </cell>
        </row>
        <row r="929">
          <cell r="V929" t="str">
            <v>调整后基本支出合计：</v>
          </cell>
        </row>
        <row r="930">
          <cell r="V930" t="str">
            <v>调整支出合计：</v>
          </cell>
        </row>
      </sheetData>
      <sheetData sheetId="17" refreshError="1"/>
      <sheetData sheetId="18" refreshError="1">
        <row r="9967">
          <cell r="I9967">
            <v>4238.76</v>
          </cell>
        </row>
        <row r="9967">
          <cell r="K9967">
            <v>4238.76</v>
          </cell>
        </row>
      </sheetData>
      <sheetData sheetId="19" refreshError="1"/>
      <sheetData sheetId="20" refreshError="1">
        <row r="562">
          <cell r="J562">
            <v>176250</v>
          </cell>
        </row>
      </sheetData>
      <sheetData sheetId="21" refreshError="1"/>
    </sheetDataSet>
  </externalBook>
</externalLink>
</file>

<file path=xl/externalLinks/externalLink17.xml><?xml version="1.0" encoding="utf-8"?>
<externalLink xmlns="http://schemas.openxmlformats.org/spreadsheetml/2006/main">
  <externalBook xmlns:r="http://schemas.openxmlformats.org/officeDocument/2006/relationships" r:id="rId1">
    <sheetNames>
      <sheetName val="基金预算平衡表"/>
      <sheetName val="收入表"/>
      <sheetName val="基金收入明细表"/>
      <sheetName val="支出表"/>
      <sheetName val="基金支出项目表"/>
      <sheetName val="部门预算汇总"/>
      <sheetName val="黄金山片项目"/>
      <sheetName val="铁山片项目"/>
    </sheetNames>
    <sheetDataSet>
      <sheetData sheetId="0"/>
      <sheetData sheetId="1"/>
      <sheetData sheetId="2"/>
      <sheetData sheetId="3"/>
      <sheetData sheetId="4">
        <row r="145">
          <cell r="H145">
            <v>11620</v>
          </cell>
        </row>
      </sheetData>
      <sheetData sheetId="5"/>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5.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comments" Target="../comments3.xml"/></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W34"/>
  <sheetViews>
    <sheetView zoomScale="90" zoomScaleNormal="90" workbookViewId="0">
      <selection activeCell="G14" sqref="G14"/>
    </sheetView>
  </sheetViews>
  <sheetFormatPr defaultColWidth="9" defaultRowHeight="14.25"/>
  <cols>
    <col min="1" max="1" width="24.625" style="399" customWidth="1"/>
    <col min="2" max="7" width="10.625" style="456" customWidth="1"/>
    <col min="8" max="10" width="10.625" style="457" customWidth="1"/>
    <col min="11" max="11" width="4.625" style="399" customWidth="1"/>
    <col min="12" max="23" width="9.625" style="457" customWidth="1"/>
    <col min="24" max="16383" width="9" style="399"/>
  </cols>
  <sheetData>
    <row r="1" s="399" customFormat="1" ht="32" customHeight="1" spans="1:23">
      <c r="A1" s="458" t="s">
        <v>0</v>
      </c>
      <c r="B1" s="458"/>
      <c r="C1" s="458"/>
      <c r="D1" s="458"/>
      <c r="E1" s="458"/>
      <c r="F1" s="458"/>
      <c r="G1" s="458"/>
      <c r="H1" s="458"/>
      <c r="I1" s="458"/>
      <c r="J1" s="458"/>
      <c r="L1" s="554"/>
      <c r="M1" s="554"/>
      <c r="N1" s="554"/>
      <c r="O1" s="554"/>
      <c r="P1" s="554"/>
      <c r="Q1" s="554"/>
      <c r="R1" s="557"/>
      <c r="S1" s="557"/>
      <c r="T1" s="557"/>
      <c r="U1" s="557"/>
      <c r="V1" s="557"/>
      <c r="W1" s="557"/>
    </row>
    <row r="2" s="399" customFormat="1" ht="16" customHeight="1" spans="1:23">
      <c r="A2" s="459"/>
      <c r="B2" s="456"/>
      <c r="C2" s="456"/>
      <c r="D2" s="456"/>
      <c r="E2" s="456"/>
      <c r="F2" s="456"/>
      <c r="G2" s="456"/>
      <c r="H2" s="457"/>
      <c r="I2" s="457"/>
      <c r="J2" s="395" t="s">
        <v>1</v>
      </c>
      <c r="L2" s="457"/>
      <c r="M2" s="457"/>
      <c r="N2" s="457"/>
      <c r="O2" s="457"/>
      <c r="P2" s="457"/>
      <c r="Q2" s="395"/>
      <c r="R2" s="457"/>
      <c r="S2" s="457"/>
      <c r="T2" s="395"/>
      <c r="U2" s="457"/>
      <c r="V2" s="457"/>
      <c r="W2" s="395"/>
    </row>
    <row r="3" s="399" customFormat="1" ht="24" customHeight="1" spans="1:23">
      <c r="A3" s="239" t="s">
        <v>2</v>
      </c>
      <c r="B3" s="239" t="s">
        <v>3</v>
      </c>
      <c r="C3" s="239"/>
      <c r="D3" s="239"/>
      <c r="E3" s="239" t="s">
        <v>4</v>
      </c>
      <c r="F3" s="239"/>
      <c r="G3" s="239"/>
      <c r="H3" s="460" t="s">
        <v>5</v>
      </c>
      <c r="I3" s="460"/>
      <c r="J3" s="460"/>
      <c r="L3" s="460" t="s">
        <v>6</v>
      </c>
      <c r="M3" s="460"/>
      <c r="N3" s="460"/>
      <c r="O3" s="460" t="s">
        <v>7</v>
      </c>
      <c r="P3" s="460"/>
      <c r="Q3" s="460"/>
      <c r="R3" s="460" t="s">
        <v>6</v>
      </c>
      <c r="S3" s="460"/>
      <c r="T3" s="460"/>
      <c r="U3" s="460" t="s">
        <v>7</v>
      </c>
      <c r="V3" s="460"/>
      <c r="W3" s="460"/>
    </row>
    <row r="4" s="399" customFormat="1" ht="24" customHeight="1" spans="1:23">
      <c r="A4" s="239"/>
      <c r="B4" s="240" t="s">
        <v>8</v>
      </c>
      <c r="C4" s="239" t="s">
        <v>9</v>
      </c>
      <c r="D4" s="239" t="s">
        <v>10</v>
      </c>
      <c r="E4" s="240" t="s">
        <v>8</v>
      </c>
      <c r="F4" s="239" t="s">
        <v>9</v>
      </c>
      <c r="G4" s="239" t="s">
        <v>10</v>
      </c>
      <c r="H4" s="550" t="s">
        <v>8</v>
      </c>
      <c r="I4" s="460" t="s">
        <v>9</v>
      </c>
      <c r="J4" s="460" t="s">
        <v>10</v>
      </c>
      <c r="L4" s="494" t="s">
        <v>8</v>
      </c>
      <c r="M4" s="495" t="s">
        <v>9</v>
      </c>
      <c r="N4" s="495" t="s">
        <v>10</v>
      </c>
      <c r="O4" s="494" t="s">
        <v>8</v>
      </c>
      <c r="P4" s="495" t="s">
        <v>9</v>
      </c>
      <c r="Q4" s="495" t="s">
        <v>10</v>
      </c>
      <c r="R4" s="494" t="s">
        <v>8</v>
      </c>
      <c r="S4" s="495" t="s">
        <v>9</v>
      </c>
      <c r="T4" s="495" t="s">
        <v>10</v>
      </c>
      <c r="U4" s="494" t="s">
        <v>8</v>
      </c>
      <c r="V4" s="495" t="s">
        <v>9</v>
      </c>
      <c r="W4" s="495" t="s">
        <v>10</v>
      </c>
    </row>
    <row r="5" s="399" customFormat="1" ht="24" customHeight="1" spans="1:23">
      <c r="A5" s="463" t="s">
        <v>11</v>
      </c>
      <c r="B5" s="496">
        <f t="shared" ref="B5:J5" si="0">SUM(B7,B23)</f>
        <v>118062</v>
      </c>
      <c r="C5" s="496">
        <f t="shared" si="0"/>
        <v>101323</v>
      </c>
      <c r="D5" s="496">
        <f t="shared" si="0"/>
        <v>16739</v>
      </c>
      <c r="E5" s="496">
        <f t="shared" si="0"/>
        <v>129500</v>
      </c>
      <c r="F5" s="496">
        <f t="shared" si="0"/>
        <v>112000</v>
      </c>
      <c r="G5" s="496">
        <f t="shared" si="0"/>
        <v>17500</v>
      </c>
      <c r="H5" s="496">
        <f t="shared" si="0"/>
        <v>139500</v>
      </c>
      <c r="I5" s="496">
        <f t="shared" si="0"/>
        <v>121000</v>
      </c>
      <c r="J5" s="496">
        <f t="shared" si="0"/>
        <v>18500</v>
      </c>
      <c r="K5" s="555"/>
      <c r="L5" s="496">
        <f t="shared" ref="L5:Q5" si="1">SUM(L7,L23)</f>
        <v>21438</v>
      </c>
      <c r="M5" s="496">
        <f t="shared" si="1"/>
        <v>19677</v>
      </c>
      <c r="N5" s="496">
        <f t="shared" si="1"/>
        <v>1761</v>
      </c>
      <c r="O5" s="496">
        <f t="shared" si="1"/>
        <v>10000</v>
      </c>
      <c r="P5" s="496">
        <f t="shared" si="1"/>
        <v>9000</v>
      </c>
      <c r="Q5" s="496">
        <f t="shared" si="1"/>
        <v>1000</v>
      </c>
      <c r="R5" s="558">
        <f t="shared" ref="R5:R34" si="2">IF(B5=0,"",(H5-B5)/B5)</f>
        <v>0.181582558316817</v>
      </c>
      <c r="S5" s="558">
        <f t="shared" ref="S5:S34" si="3">IF(C5=0,"",(I5-C5)/C5)</f>
        <v>0.194200724415977</v>
      </c>
      <c r="T5" s="558">
        <f t="shared" ref="T5:T34" si="4">IF(D5=0,"",(J5-D5)/D5)</f>
        <v>0.105203417169484</v>
      </c>
      <c r="U5" s="558">
        <f t="shared" ref="U5:W5" si="5">IF(E5=0,"",(H5-E5)/E5)</f>
        <v>0.0772200772200772</v>
      </c>
      <c r="V5" s="558">
        <f t="shared" si="5"/>
        <v>0.0803571428571429</v>
      </c>
      <c r="W5" s="558">
        <f t="shared" si="5"/>
        <v>0.0571428571428571</v>
      </c>
    </row>
    <row r="6" s="399" customFormat="1" ht="24" customHeight="1" spans="1:23">
      <c r="A6" s="551" t="s">
        <v>12</v>
      </c>
      <c r="B6" s="496">
        <f t="shared" ref="B6:J6" si="6">B8+B24</f>
        <v>102584</v>
      </c>
      <c r="C6" s="496">
        <f t="shared" si="6"/>
        <v>86051</v>
      </c>
      <c r="D6" s="496">
        <f t="shared" si="6"/>
        <v>16533</v>
      </c>
      <c r="E6" s="496">
        <f t="shared" si="6"/>
        <v>116130</v>
      </c>
      <c r="F6" s="496">
        <f t="shared" si="6"/>
        <v>98800</v>
      </c>
      <c r="G6" s="496">
        <f t="shared" si="6"/>
        <v>17330</v>
      </c>
      <c r="H6" s="496">
        <f t="shared" si="6"/>
        <v>136260</v>
      </c>
      <c r="I6" s="496">
        <f t="shared" si="6"/>
        <v>117900</v>
      </c>
      <c r="J6" s="496">
        <f t="shared" si="6"/>
        <v>18360</v>
      </c>
      <c r="K6" s="555"/>
      <c r="L6" s="496">
        <f t="shared" ref="L6:Q6" si="7">L8+L24</f>
        <v>33676</v>
      </c>
      <c r="M6" s="496">
        <f t="shared" si="7"/>
        <v>31849</v>
      </c>
      <c r="N6" s="496">
        <f t="shared" si="7"/>
        <v>1827</v>
      </c>
      <c r="O6" s="496">
        <f t="shared" si="7"/>
        <v>20130</v>
      </c>
      <c r="P6" s="496">
        <f t="shared" si="7"/>
        <v>19100</v>
      </c>
      <c r="Q6" s="496">
        <f t="shared" si="7"/>
        <v>1030</v>
      </c>
      <c r="R6" s="558">
        <f t="shared" si="2"/>
        <v>0.328277314201045</v>
      </c>
      <c r="S6" s="558">
        <f t="shared" si="3"/>
        <v>0.370117720886451</v>
      </c>
      <c r="T6" s="558">
        <f t="shared" si="4"/>
        <v>0.110506260206859</v>
      </c>
      <c r="U6" s="558">
        <f t="shared" ref="U6:W6" si="8">IF(E6=0,"",(H6-E6)/E6)</f>
        <v>0.173340222164815</v>
      </c>
      <c r="V6" s="558">
        <f t="shared" si="8"/>
        <v>0.19331983805668</v>
      </c>
      <c r="W6" s="558">
        <f t="shared" si="8"/>
        <v>0.0594345066358915</v>
      </c>
    </row>
    <row r="7" s="399" customFormat="1" ht="24" customHeight="1" spans="1:23">
      <c r="A7" s="463" t="s">
        <v>13</v>
      </c>
      <c r="B7" s="496">
        <f t="shared" ref="B7:J7" si="9">SUM(B9:B22)</f>
        <v>92951</v>
      </c>
      <c r="C7" s="496">
        <f t="shared" si="9"/>
        <v>85448</v>
      </c>
      <c r="D7" s="496">
        <f t="shared" si="9"/>
        <v>7503</v>
      </c>
      <c r="E7" s="496">
        <f t="shared" si="9"/>
        <v>110530</v>
      </c>
      <c r="F7" s="496">
        <f t="shared" si="9"/>
        <v>101550</v>
      </c>
      <c r="G7" s="496">
        <f t="shared" si="9"/>
        <v>8980</v>
      </c>
      <c r="H7" s="496">
        <f t="shared" si="9"/>
        <v>105640</v>
      </c>
      <c r="I7" s="496">
        <f t="shared" si="9"/>
        <v>95520</v>
      </c>
      <c r="J7" s="496">
        <f t="shared" si="9"/>
        <v>10120</v>
      </c>
      <c r="K7" s="555"/>
      <c r="L7" s="496">
        <f t="shared" ref="L7:Q7" si="10">SUM(L9:L22)</f>
        <v>12689</v>
      </c>
      <c r="M7" s="496">
        <f t="shared" si="10"/>
        <v>10072</v>
      </c>
      <c r="N7" s="496">
        <f t="shared" si="10"/>
        <v>2617</v>
      </c>
      <c r="O7" s="496">
        <f t="shared" si="10"/>
        <v>-4890</v>
      </c>
      <c r="P7" s="496">
        <f t="shared" si="10"/>
        <v>-6030</v>
      </c>
      <c r="Q7" s="496">
        <f t="shared" si="10"/>
        <v>1140</v>
      </c>
      <c r="R7" s="558">
        <f t="shared" si="2"/>
        <v>0.136512786306764</v>
      </c>
      <c r="S7" s="558">
        <f t="shared" si="3"/>
        <v>0.117872858346597</v>
      </c>
      <c r="T7" s="558">
        <f t="shared" si="4"/>
        <v>0.348793815807011</v>
      </c>
      <c r="U7" s="558">
        <f t="shared" ref="U7:W7" si="11">IF(E7=0,"",(H7-E7)/E7)</f>
        <v>-0.0442413824301095</v>
      </c>
      <c r="V7" s="558">
        <f t="shared" si="11"/>
        <v>-0.0593796159527326</v>
      </c>
      <c r="W7" s="558">
        <f t="shared" si="11"/>
        <v>0.126948775055679</v>
      </c>
    </row>
    <row r="8" s="399" customFormat="1" ht="24" customHeight="1" spans="1:23">
      <c r="A8" s="551" t="s">
        <v>12</v>
      </c>
      <c r="B8" s="496">
        <f t="shared" ref="B8:J8" si="12">B7-B22</f>
        <v>77473</v>
      </c>
      <c r="C8" s="496">
        <f t="shared" si="12"/>
        <v>70176</v>
      </c>
      <c r="D8" s="496">
        <f t="shared" si="12"/>
        <v>7297</v>
      </c>
      <c r="E8" s="496">
        <f t="shared" si="12"/>
        <v>97160</v>
      </c>
      <c r="F8" s="496">
        <f t="shared" si="12"/>
        <v>88350</v>
      </c>
      <c r="G8" s="496">
        <f t="shared" si="12"/>
        <v>8810</v>
      </c>
      <c r="H8" s="496">
        <f t="shared" si="12"/>
        <v>102400</v>
      </c>
      <c r="I8" s="496">
        <f t="shared" si="12"/>
        <v>92420</v>
      </c>
      <c r="J8" s="496">
        <f t="shared" si="12"/>
        <v>9980</v>
      </c>
      <c r="K8" s="555"/>
      <c r="L8" s="496">
        <f t="shared" ref="L8:Q8" si="13">L7-L22</f>
        <v>24927</v>
      </c>
      <c r="M8" s="496">
        <f t="shared" si="13"/>
        <v>22244</v>
      </c>
      <c r="N8" s="496">
        <f t="shared" si="13"/>
        <v>2683</v>
      </c>
      <c r="O8" s="496">
        <f t="shared" si="13"/>
        <v>5240</v>
      </c>
      <c r="P8" s="496">
        <f t="shared" si="13"/>
        <v>4070</v>
      </c>
      <c r="Q8" s="496">
        <f t="shared" si="13"/>
        <v>1170</v>
      </c>
      <c r="R8" s="558">
        <f t="shared" si="2"/>
        <v>0.321750803505737</v>
      </c>
      <c r="S8" s="558">
        <f t="shared" si="3"/>
        <v>0.316974464204286</v>
      </c>
      <c r="T8" s="558">
        <f t="shared" si="4"/>
        <v>0.367685350143895</v>
      </c>
      <c r="U8" s="558">
        <f t="shared" ref="U8:W8" si="14">IF(E8=0,"",(H8-E8)/E8)</f>
        <v>0.053931659118979</v>
      </c>
      <c r="V8" s="558">
        <f t="shared" si="14"/>
        <v>0.046066779852858</v>
      </c>
      <c r="W8" s="558">
        <f t="shared" si="14"/>
        <v>0.132803632236095</v>
      </c>
    </row>
    <row r="9" s="399" customFormat="1" ht="24" customHeight="1" spans="1:23">
      <c r="A9" s="245" t="s">
        <v>14</v>
      </c>
      <c r="B9" s="496">
        <f>SUM(C9:D9)</f>
        <v>28043</v>
      </c>
      <c r="C9" s="497">
        <v>24764</v>
      </c>
      <c r="D9" s="497">
        <v>3279</v>
      </c>
      <c r="E9" s="496">
        <f t="shared" ref="E9:E22" si="15">SUM(F9:G9)</f>
        <v>42900</v>
      </c>
      <c r="F9" s="497">
        <v>38200</v>
      </c>
      <c r="G9" s="497">
        <v>4700</v>
      </c>
      <c r="H9" s="496">
        <f t="shared" ref="H9:H22" si="16">SUM(I9:J9)</f>
        <v>47140</v>
      </c>
      <c r="I9" s="497">
        <v>42400</v>
      </c>
      <c r="J9" s="497">
        <v>4740</v>
      </c>
      <c r="K9" s="555"/>
      <c r="L9" s="496">
        <f t="shared" ref="L9:L22" si="17">SUM(M9:N9)</f>
        <v>19097</v>
      </c>
      <c r="M9" s="497">
        <f>I9-C9</f>
        <v>17636</v>
      </c>
      <c r="N9" s="497">
        <f>J9-D9</f>
        <v>1461</v>
      </c>
      <c r="O9" s="496">
        <f t="shared" ref="O9:O22" si="18">SUM(P9:Q9)</f>
        <v>4240</v>
      </c>
      <c r="P9" s="497">
        <f>I9-F9</f>
        <v>4200</v>
      </c>
      <c r="Q9" s="497">
        <f>J9-G9</f>
        <v>40</v>
      </c>
      <c r="R9" s="558">
        <f t="shared" si="2"/>
        <v>0.680989908355026</v>
      </c>
      <c r="S9" s="558">
        <f t="shared" si="3"/>
        <v>0.712162816992408</v>
      </c>
      <c r="T9" s="558">
        <f t="shared" si="4"/>
        <v>0.445562671546203</v>
      </c>
      <c r="U9" s="558">
        <f t="shared" ref="U9:W9" si="19">IF(E9=0,"",(H9-E9)/E9)</f>
        <v>0.0988344988344988</v>
      </c>
      <c r="V9" s="558">
        <f t="shared" si="19"/>
        <v>0.109947643979058</v>
      </c>
      <c r="W9" s="558">
        <f t="shared" si="19"/>
        <v>0.00851063829787234</v>
      </c>
    </row>
    <row r="10" s="399" customFormat="1" ht="22" customHeight="1" spans="1:23">
      <c r="A10" s="245" t="s">
        <v>15</v>
      </c>
      <c r="B10" s="496">
        <f t="shared" ref="B9:B22" si="20">SUM(C10:D10)</f>
        <v>16294</v>
      </c>
      <c r="C10" s="497">
        <v>15267</v>
      </c>
      <c r="D10" s="497">
        <v>1027</v>
      </c>
      <c r="E10" s="496">
        <f t="shared" si="15"/>
        <v>17950</v>
      </c>
      <c r="F10" s="497">
        <v>16950</v>
      </c>
      <c r="G10" s="497">
        <v>1000</v>
      </c>
      <c r="H10" s="496">
        <f t="shared" si="16"/>
        <v>18300</v>
      </c>
      <c r="I10" s="497">
        <v>17450</v>
      </c>
      <c r="J10" s="497">
        <v>850</v>
      </c>
      <c r="K10" s="555"/>
      <c r="L10" s="496">
        <f t="shared" si="17"/>
        <v>2006</v>
      </c>
      <c r="M10" s="497">
        <f>I10-C10</f>
        <v>2183</v>
      </c>
      <c r="N10" s="497">
        <f t="shared" ref="N9:N22" si="21">J10-D10</f>
        <v>-177</v>
      </c>
      <c r="O10" s="496">
        <f t="shared" si="18"/>
        <v>350</v>
      </c>
      <c r="P10" s="497">
        <f t="shared" ref="P9:P22" si="22">I10-F10</f>
        <v>500</v>
      </c>
      <c r="Q10" s="497">
        <f t="shared" ref="Q9:Q22" si="23">J10-G10</f>
        <v>-150</v>
      </c>
      <c r="R10" s="558">
        <f t="shared" si="2"/>
        <v>0.1231128022585</v>
      </c>
      <c r="S10" s="558">
        <f t="shared" si="3"/>
        <v>0.14298814436366</v>
      </c>
      <c r="T10" s="558">
        <f t="shared" si="4"/>
        <v>-0.172346640701071</v>
      </c>
      <c r="U10" s="558">
        <f t="shared" ref="U10:W10" si="24">IF(E10=0,"",(H10-E10)/E10)</f>
        <v>0.0194986072423398</v>
      </c>
      <c r="V10" s="558">
        <f t="shared" si="24"/>
        <v>0.0294985250737463</v>
      </c>
      <c r="W10" s="558">
        <f t="shared" si="24"/>
        <v>-0.15</v>
      </c>
    </row>
    <row r="11" s="399" customFormat="1" ht="24" customHeight="1" spans="1:23">
      <c r="A11" s="245" t="s">
        <v>16</v>
      </c>
      <c r="B11" s="496">
        <f t="shared" si="20"/>
        <v>3149</v>
      </c>
      <c r="C11" s="497">
        <v>2602</v>
      </c>
      <c r="D11" s="497">
        <v>547</v>
      </c>
      <c r="E11" s="496">
        <f t="shared" si="15"/>
        <v>3270</v>
      </c>
      <c r="F11" s="497">
        <v>2930</v>
      </c>
      <c r="G11" s="497">
        <v>340</v>
      </c>
      <c r="H11" s="496">
        <f t="shared" si="16"/>
        <v>2720</v>
      </c>
      <c r="I11" s="497">
        <v>2230</v>
      </c>
      <c r="J11" s="497">
        <v>490</v>
      </c>
      <c r="K11" s="555"/>
      <c r="L11" s="496">
        <f t="shared" si="17"/>
        <v>-429</v>
      </c>
      <c r="M11" s="497">
        <f t="shared" ref="M9:M22" si="25">I11-C11</f>
        <v>-372</v>
      </c>
      <c r="N11" s="497">
        <f t="shared" si="21"/>
        <v>-57</v>
      </c>
      <c r="O11" s="496">
        <f t="shared" si="18"/>
        <v>-550</v>
      </c>
      <c r="P11" s="497">
        <f t="shared" si="22"/>
        <v>-700</v>
      </c>
      <c r="Q11" s="497">
        <f t="shared" si="23"/>
        <v>150</v>
      </c>
      <c r="R11" s="558">
        <f t="shared" si="2"/>
        <v>-0.136233724992061</v>
      </c>
      <c r="S11" s="558">
        <f t="shared" si="3"/>
        <v>-0.142966948501153</v>
      </c>
      <c r="T11" s="558">
        <f t="shared" si="4"/>
        <v>-0.104204753199269</v>
      </c>
      <c r="U11" s="558">
        <f t="shared" ref="U11:W11" si="26">IF(E11=0,"",(H11-E11)/E11)</f>
        <v>-0.168195718654434</v>
      </c>
      <c r="V11" s="558">
        <f t="shared" si="26"/>
        <v>-0.238907849829352</v>
      </c>
      <c r="W11" s="558">
        <f t="shared" si="26"/>
        <v>0.441176470588235</v>
      </c>
    </row>
    <row r="12" s="399" customFormat="1" ht="24" customHeight="1" spans="1:23">
      <c r="A12" s="245" t="s">
        <v>17</v>
      </c>
      <c r="B12" s="496">
        <f t="shared" si="20"/>
        <v>456</v>
      </c>
      <c r="C12" s="497">
        <v>317</v>
      </c>
      <c r="D12" s="497">
        <v>139</v>
      </c>
      <c r="E12" s="496">
        <f t="shared" si="15"/>
        <v>950</v>
      </c>
      <c r="F12" s="497">
        <v>300</v>
      </c>
      <c r="G12" s="497">
        <v>650</v>
      </c>
      <c r="H12" s="496">
        <f t="shared" si="16"/>
        <v>1100</v>
      </c>
      <c r="I12" s="497">
        <v>350</v>
      </c>
      <c r="J12" s="497">
        <v>750</v>
      </c>
      <c r="K12" s="555"/>
      <c r="L12" s="496">
        <f t="shared" si="17"/>
        <v>644</v>
      </c>
      <c r="M12" s="497">
        <f t="shared" si="25"/>
        <v>33</v>
      </c>
      <c r="N12" s="497">
        <f t="shared" si="21"/>
        <v>611</v>
      </c>
      <c r="O12" s="496">
        <f t="shared" si="18"/>
        <v>150</v>
      </c>
      <c r="P12" s="497">
        <f t="shared" si="22"/>
        <v>50</v>
      </c>
      <c r="Q12" s="497">
        <f t="shared" si="23"/>
        <v>100</v>
      </c>
      <c r="R12" s="558">
        <f t="shared" si="2"/>
        <v>1.41228070175439</v>
      </c>
      <c r="S12" s="558">
        <f t="shared" si="3"/>
        <v>0.10410094637224</v>
      </c>
      <c r="T12" s="558">
        <f t="shared" si="4"/>
        <v>4.39568345323741</v>
      </c>
      <c r="U12" s="558">
        <f t="shared" ref="U12:W12" si="27">IF(E12=0,"",(H12-E12)/E12)</f>
        <v>0.157894736842105</v>
      </c>
      <c r="V12" s="558">
        <f t="shared" si="27"/>
        <v>0.166666666666667</v>
      </c>
      <c r="W12" s="558">
        <f t="shared" si="27"/>
        <v>0.153846153846154</v>
      </c>
    </row>
    <row r="13" s="399" customFormat="1" ht="24" customHeight="1" spans="1:23">
      <c r="A13" s="245" t="s">
        <v>18</v>
      </c>
      <c r="B13" s="496">
        <f t="shared" si="20"/>
        <v>6382</v>
      </c>
      <c r="C13" s="497">
        <v>5742</v>
      </c>
      <c r="D13" s="497">
        <v>640</v>
      </c>
      <c r="E13" s="496">
        <f t="shared" si="15"/>
        <v>7110</v>
      </c>
      <c r="F13" s="497">
        <v>6410</v>
      </c>
      <c r="G13" s="497">
        <v>700</v>
      </c>
      <c r="H13" s="496">
        <f t="shared" si="16"/>
        <v>6210</v>
      </c>
      <c r="I13" s="497">
        <v>5710</v>
      </c>
      <c r="J13" s="497">
        <v>500</v>
      </c>
      <c r="K13" s="555"/>
      <c r="L13" s="496">
        <f t="shared" si="17"/>
        <v>-172</v>
      </c>
      <c r="M13" s="497">
        <f t="shared" si="25"/>
        <v>-32</v>
      </c>
      <c r="N13" s="497">
        <f t="shared" si="21"/>
        <v>-140</v>
      </c>
      <c r="O13" s="496">
        <f t="shared" si="18"/>
        <v>-900</v>
      </c>
      <c r="P13" s="497">
        <f t="shared" si="22"/>
        <v>-700</v>
      </c>
      <c r="Q13" s="497">
        <f t="shared" si="23"/>
        <v>-200</v>
      </c>
      <c r="R13" s="558">
        <f t="shared" si="2"/>
        <v>-0.0269507991225321</v>
      </c>
      <c r="S13" s="558">
        <f t="shared" si="3"/>
        <v>-0.00557297109021247</v>
      </c>
      <c r="T13" s="558">
        <f t="shared" si="4"/>
        <v>-0.21875</v>
      </c>
      <c r="U13" s="558">
        <f t="shared" ref="U13:W13" si="28">IF(E13=0,"",(H13-E13)/E13)</f>
        <v>-0.126582278481013</v>
      </c>
      <c r="V13" s="558">
        <f t="shared" si="28"/>
        <v>-0.109204368174727</v>
      </c>
      <c r="W13" s="558">
        <f t="shared" si="28"/>
        <v>-0.285714285714286</v>
      </c>
    </row>
    <row r="14" s="399" customFormat="1" ht="24" customHeight="1" spans="1:23">
      <c r="A14" s="245" t="s">
        <v>19</v>
      </c>
      <c r="B14" s="496">
        <f t="shared" si="20"/>
        <v>9739</v>
      </c>
      <c r="C14" s="497">
        <v>9039</v>
      </c>
      <c r="D14" s="497">
        <v>700</v>
      </c>
      <c r="E14" s="496">
        <f t="shared" si="15"/>
        <v>10550</v>
      </c>
      <c r="F14" s="497">
        <v>10100</v>
      </c>
      <c r="G14" s="497">
        <v>450</v>
      </c>
      <c r="H14" s="496">
        <f t="shared" si="16"/>
        <v>12700</v>
      </c>
      <c r="I14" s="497">
        <v>12000</v>
      </c>
      <c r="J14" s="497">
        <v>700</v>
      </c>
      <c r="K14" s="555"/>
      <c r="L14" s="496">
        <f t="shared" si="17"/>
        <v>2961</v>
      </c>
      <c r="M14" s="497">
        <f t="shared" si="25"/>
        <v>2961</v>
      </c>
      <c r="N14" s="497">
        <f t="shared" si="21"/>
        <v>0</v>
      </c>
      <c r="O14" s="496">
        <f t="shared" si="18"/>
        <v>2150</v>
      </c>
      <c r="P14" s="497">
        <f t="shared" si="22"/>
        <v>1900</v>
      </c>
      <c r="Q14" s="497">
        <f t="shared" si="23"/>
        <v>250</v>
      </c>
      <c r="R14" s="558">
        <f t="shared" si="2"/>
        <v>0.304035321901633</v>
      </c>
      <c r="S14" s="558">
        <f t="shared" si="3"/>
        <v>0.327580484566877</v>
      </c>
      <c r="T14" s="558">
        <f t="shared" si="4"/>
        <v>0</v>
      </c>
      <c r="U14" s="558">
        <f t="shared" ref="U14:W14" si="29">IF(E14=0,"",(H14-E14)/E14)</f>
        <v>0.203791469194313</v>
      </c>
      <c r="V14" s="558">
        <f t="shared" si="29"/>
        <v>0.188118811881188</v>
      </c>
      <c r="W14" s="558">
        <f t="shared" si="29"/>
        <v>0.555555555555556</v>
      </c>
    </row>
    <row r="15" s="399" customFormat="1" ht="24" customHeight="1" spans="1:23">
      <c r="A15" s="245" t="s">
        <v>20</v>
      </c>
      <c r="B15" s="496">
        <f t="shared" si="20"/>
        <v>3236</v>
      </c>
      <c r="C15" s="497">
        <v>2999</v>
      </c>
      <c r="D15" s="497">
        <v>237</v>
      </c>
      <c r="E15" s="496">
        <f t="shared" si="15"/>
        <v>3540</v>
      </c>
      <c r="F15" s="497">
        <v>3300</v>
      </c>
      <c r="G15" s="497">
        <v>240</v>
      </c>
      <c r="H15" s="496">
        <f t="shared" si="16"/>
        <v>4040</v>
      </c>
      <c r="I15" s="497">
        <v>3800</v>
      </c>
      <c r="J15" s="497">
        <v>240</v>
      </c>
      <c r="K15" s="555"/>
      <c r="L15" s="496">
        <f t="shared" si="17"/>
        <v>804</v>
      </c>
      <c r="M15" s="497">
        <f t="shared" si="25"/>
        <v>801</v>
      </c>
      <c r="N15" s="497">
        <f t="shared" si="21"/>
        <v>3</v>
      </c>
      <c r="O15" s="496">
        <f t="shared" si="18"/>
        <v>500</v>
      </c>
      <c r="P15" s="497">
        <f t="shared" si="22"/>
        <v>500</v>
      </c>
      <c r="Q15" s="497">
        <f t="shared" si="23"/>
        <v>0</v>
      </c>
      <c r="R15" s="558">
        <f t="shared" si="2"/>
        <v>0.248454882571075</v>
      </c>
      <c r="S15" s="558">
        <f t="shared" si="3"/>
        <v>0.267089029676559</v>
      </c>
      <c r="T15" s="558">
        <f t="shared" si="4"/>
        <v>0.0126582278481013</v>
      </c>
      <c r="U15" s="558">
        <f t="shared" ref="U15:W15" si="30">IF(E15=0,"",(H15-E15)/E15)</f>
        <v>0.141242937853107</v>
      </c>
      <c r="V15" s="558">
        <f t="shared" si="30"/>
        <v>0.151515151515152</v>
      </c>
      <c r="W15" s="558">
        <f t="shared" si="30"/>
        <v>0</v>
      </c>
    </row>
    <row r="16" s="399" customFormat="1" ht="24" customHeight="1" spans="1:23">
      <c r="A16" s="245" t="s">
        <v>21</v>
      </c>
      <c r="B16" s="496">
        <f t="shared" si="20"/>
        <v>2873</v>
      </c>
      <c r="C16" s="497">
        <v>2347</v>
      </c>
      <c r="D16" s="497">
        <v>526</v>
      </c>
      <c r="E16" s="496">
        <f t="shared" si="15"/>
        <v>4760</v>
      </c>
      <c r="F16" s="497">
        <v>4260</v>
      </c>
      <c r="G16" s="497">
        <v>500</v>
      </c>
      <c r="H16" s="496">
        <f t="shared" si="16"/>
        <v>3980</v>
      </c>
      <c r="I16" s="497">
        <v>3360</v>
      </c>
      <c r="J16" s="497">
        <v>620</v>
      </c>
      <c r="K16" s="555"/>
      <c r="L16" s="496">
        <f t="shared" si="17"/>
        <v>1107</v>
      </c>
      <c r="M16" s="497">
        <f t="shared" si="25"/>
        <v>1013</v>
      </c>
      <c r="N16" s="497">
        <f t="shared" si="21"/>
        <v>94</v>
      </c>
      <c r="O16" s="496">
        <f t="shared" si="18"/>
        <v>-780</v>
      </c>
      <c r="P16" s="497">
        <f t="shared" si="22"/>
        <v>-900</v>
      </c>
      <c r="Q16" s="497">
        <f t="shared" si="23"/>
        <v>120</v>
      </c>
      <c r="R16" s="558">
        <f t="shared" si="2"/>
        <v>0.385311521058127</v>
      </c>
      <c r="S16" s="558">
        <f t="shared" si="3"/>
        <v>0.431614827439284</v>
      </c>
      <c r="T16" s="558">
        <f t="shared" si="4"/>
        <v>0.178707224334601</v>
      </c>
      <c r="U16" s="558">
        <f t="shared" ref="U16:W16" si="31">IF(E16=0,"",(H16-E16)/E16)</f>
        <v>-0.163865546218487</v>
      </c>
      <c r="V16" s="558">
        <f t="shared" si="31"/>
        <v>-0.211267605633803</v>
      </c>
      <c r="W16" s="558">
        <f t="shared" si="31"/>
        <v>0.24</v>
      </c>
    </row>
    <row r="17" s="399" customFormat="1" ht="24" customHeight="1" spans="1:23">
      <c r="A17" s="245" t="s">
        <v>22</v>
      </c>
      <c r="B17" s="496">
        <f t="shared" si="20"/>
        <v>1581</v>
      </c>
      <c r="C17" s="497">
        <v>1426</v>
      </c>
      <c r="D17" s="497">
        <v>155</v>
      </c>
      <c r="E17" s="496">
        <f t="shared" si="15"/>
        <v>1970</v>
      </c>
      <c r="F17" s="497">
        <v>1800</v>
      </c>
      <c r="G17" s="497">
        <v>170</v>
      </c>
      <c r="H17" s="496">
        <f t="shared" si="16"/>
        <v>4800</v>
      </c>
      <c r="I17" s="497">
        <v>3750</v>
      </c>
      <c r="J17" s="497">
        <v>1050</v>
      </c>
      <c r="K17" s="555"/>
      <c r="L17" s="496">
        <f t="shared" si="17"/>
        <v>3219</v>
      </c>
      <c r="M17" s="497">
        <f t="shared" si="25"/>
        <v>2324</v>
      </c>
      <c r="N17" s="497">
        <f t="shared" si="21"/>
        <v>895</v>
      </c>
      <c r="O17" s="496">
        <f t="shared" si="18"/>
        <v>2830</v>
      </c>
      <c r="P17" s="497">
        <f t="shared" si="22"/>
        <v>1950</v>
      </c>
      <c r="Q17" s="497">
        <f t="shared" si="23"/>
        <v>880</v>
      </c>
      <c r="R17" s="558">
        <f t="shared" si="2"/>
        <v>2.03605313092979</v>
      </c>
      <c r="S17" s="558">
        <f t="shared" si="3"/>
        <v>1.62973352033661</v>
      </c>
      <c r="T17" s="558">
        <f t="shared" si="4"/>
        <v>5.7741935483871</v>
      </c>
      <c r="U17" s="558">
        <f t="shared" ref="U17:W17" si="32">IF(E17=0,"",(H17-E17)/E17)</f>
        <v>1.43654822335025</v>
      </c>
      <c r="V17" s="558">
        <f t="shared" si="32"/>
        <v>1.08333333333333</v>
      </c>
      <c r="W17" s="558">
        <f t="shared" si="32"/>
        <v>5.17647058823529</v>
      </c>
    </row>
    <row r="18" s="399" customFormat="1" ht="24" customHeight="1" spans="1:23">
      <c r="A18" s="245" t="s">
        <v>23</v>
      </c>
      <c r="B18" s="496">
        <f t="shared" si="20"/>
        <v>1</v>
      </c>
      <c r="C18" s="497">
        <v>0</v>
      </c>
      <c r="D18" s="497">
        <v>1</v>
      </c>
      <c r="E18" s="496">
        <f t="shared" si="15"/>
        <v>0</v>
      </c>
      <c r="F18" s="497">
        <v>0</v>
      </c>
      <c r="G18" s="497">
        <v>0</v>
      </c>
      <c r="H18" s="496">
        <f t="shared" si="16"/>
        <v>0</v>
      </c>
      <c r="I18" s="497">
        <v>0</v>
      </c>
      <c r="J18" s="497">
        <v>0</v>
      </c>
      <c r="K18" s="555"/>
      <c r="L18" s="496">
        <f t="shared" si="17"/>
        <v>-1</v>
      </c>
      <c r="M18" s="497">
        <f t="shared" si="25"/>
        <v>0</v>
      </c>
      <c r="N18" s="497">
        <f t="shared" si="21"/>
        <v>-1</v>
      </c>
      <c r="O18" s="496">
        <f t="shared" si="18"/>
        <v>0</v>
      </c>
      <c r="P18" s="497">
        <f t="shared" si="22"/>
        <v>0</v>
      </c>
      <c r="Q18" s="497">
        <f t="shared" si="23"/>
        <v>0</v>
      </c>
      <c r="R18" s="558">
        <f t="shared" si="2"/>
        <v>-1</v>
      </c>
      <c r="S18" s="558" t="str">
        <f t="shared" si="3"/>
        <v/>
      </c>
      <c r="T18" s="558">
        <f t="shared" si="4"/>
        <v>-1</v>
      </c>
      <c r="U18" s="558" t="str">
        <f t="shared" ref="U18:W18" si="33">IF(E18=0,"",(H18-E18)/E18)</f>
        <v/>
      </c>
      <c r="V18" s="558" t="str">
        <f t="shared" si="33"/>
        <v/>
      </c>
      <c r="W18" s="558" t="str">
        <f t="shared" si="33"/>
        <v/>
      </c>
    </row>
    <row r="19" s="399" customFormat="1" ht="24" customHeight="1" spans="1:23">
      <c r="A19" s="245" t="s">
        <v>24</v>
      </c>
      <c r="B19" s="496">
        <f t="shared" si="20"/>
        <v>5499</v>
      </c>
      <c r="C19" s="497">
        <v>5493</v>
      </c>
      <c r="D19" s="497">
        <v>6</v>
      </c>
      <c r="E19" s="496">
        <f t="shared" si="15"/>
        <v>3810</v>
      </c>
      <c r="F19" s="497">
        <v>3800</v>
      </c>
      <c r="G19" s="497">
        <v>10</v>
      </c>
      <c r="H19" s="496">
        <f t="shared" si="16"/>
        <v>800</v>
      </c>
      <c r="I19" s="497">
        <v>800</v>
      </c>
      <c r="J19" s="497">
        <v>0</v>
      </c>
      <c r="K19" s="555"/>
      <c r="L19" s="496">
        <f t="shared" si="17"/>
        <v>-4699</v>
      </c>
      <c r="M19" s="497">
        <f t="shared" si="25"/>
        <v>-4693</v>
      </c>
      <c r="N19" s="497">
        <f t="shared" si="21"/>
        <v>-6</v>
      </c>
      <c r="O19" s="496">
        <f t="shared" si="18"/>
        <v>-3010</v>
      </c>
      <c r="P19" s="497">
        <f t="shared" si="22"/>
        <v>-3000</v>
      </c>
      <c r="Q19" s="497">
        <f t="shared" si="23"/>
        <v>-10</v>
      </c>
      <c r="R19" s="558">
        <f t="shared" si="2"/>
        <v>-0.854519003455174</v>
      </c>
      <c r="S19" s="558">
        <f t="shared" si="3"/>
        <v>-0.854360094665938</v>
      </c>
      <c r="T19" s="558">
        <f t="shared" si="4"/>
        <v>-1</v>
      </c>
      <c r="U19" s="558">
        <f t="shared" ref="U19:W19" si="34">IF(E19=0,"",(H19-E19)/E19)</f>
        <v>-0.79002624671916</v>
      </c>
      <c r="V19" s="558">
        <f t="shared" si="34"/>
        <v>-0.789473684210526</v>
      </c>
      <c r="W19" s="558">
        <f t="shared" si="34"/>
        <v>-1</v>
      </c>
    </row>
    <row r="20" s="399" customFormat="1" ht="24" customHeight="1" spans="1:23">
      <c r="A20" s="245" t="s">
        <v>25</v>
      </c>
      <c r="B20" s="496">
        <f t="shared" si="20"/>
        <v>220</v>
      </c>
      <c r="C20" s="497">
        <v>180</v>
      </c>
      <c r="D20" s="497">
        <v>40</v>
      </c>
      <c r="E20" s="496">
        <f t="shared" si="15"/>
        <v>350</v>
      </c>
      <c r="F20" s="497">
        <v>300</v>
      </c>
      <c r="G20" s="497">
        <v>50</v>
      </c>
      <c r="H20" s="496">
        <f t="shared" si="16"/>
        <v>140</v>
      </c>
      <c r="I20" s="497">
        <v>100</v>
      </c>
      <c r="J20" s="497">
        <v>40</v>
      </c>
      <c r="K20" s="555"/>
      <c r="L20" s="496">
        <f t="shared" si="17"/>
        <v>-80</v>
      </c>
      <c r="M20" s="497">
        <f t="shared" si="25"/>
        <v>-80</v>
      </c>
      <c r="N20" s="497">
        <f t="shared" si="21"/>
        <v>0</v>
      </c>
      <c r="O20" s="496">
        <f t="shared" si="18"/>
        <v>-210</v>
      </c>
      <c r="P20" s="497">
        <f t="shared" si="22"/>
        <v>-200</v>
      </c>
      <c r="Q20" s="497">
        <f t="shared" si="23"/>
        <v>-10</v>
      </c>
      <c r="R20" s="558">
        <f t="shared" si="2"/>
        <v>-0.363636363636364</v>
      </c>
      <c r="S20" s="558">
        <f t="shared" si="3"/>
        <v>-0.444444444444444</v>
      </c>
      <c r="T20" s="558">
        <f t="shared" si="4"/>
        <v>0</v>
      </c>
      <c r="U20" s="558">
        <f t="shared" ref="U20:W20" si="35">IF(E20=0,"",(H20-E20)/E20)</f>
        <v>-0.6</v>
      </c>
      <c r="V20" s="558">
        <f t="shared" si="35"/>
        <v>-0.666666666666667</v>
      </c>
      <c r="W20" s="558">
        <f t="shared" si="35"/>
        <v>-0.2</v>
      </c>
    </row>
    <row r="21" s="399" customFormat="1" ht="24" customHeight="1" spans="1:23">
      <c r="A21" s="245" t="s">
        <v>26</v>
      </c>
      <c r="B21" s="496">
        <f t="shared" si="20"/>
        <v>0</v>
      </c>
      <c r="C21" s="497">
        <v>0</v>
      </c>
      <c r="D21" s="497">
        <v>0</v>
      </c>
      <c r="E21" s="496">
        <f t="shared" si="15"/>
        <v>0</v>
      </c>
      <c r="F21" s="497">
        <v>0</v>
      </c>
      <c r="G21" s="497">
        <v>0</v>
      </c>
      <c r="H21" s="496">
        <f t="shared" si="16"/>
        <v>470</v>
      </c>
      <c r="I21" s="497">
        <v>470</v>
      </c>
      <c r="J21" s="497">
        <v>0</v>
      </c>
      <c r="K21" s="555"/>
      <c r="L21" s="496">
        <f t="shared" si="17"/>
        <v>470</v>
      </c>
      <c r="M21" s="497">
        <f t="shared" si="25"/>
        <v>470</v>
      </c>
      <c r="N21" s="497">
        <f t="shared" si="21"/>
        <v>0</v>
      </c>
      <c r="O21" s="496">
        <f t="shared" si="18"/>
        <v>470</v>
      </c>
      <c r="P21" s="497">
        <f t="shared" si="22"/>
        <v>470</v>
      </c>
      <c r="Q21" s="497">
        <f t="shared" si="23"/>
        <v>0</v>
      </c>
      <c r="R21" s="558" t="str">
        <f t="shared" si="2"/>
        <v/>
      </c>
      <c r="S21" s="558" t="str">
        <f t="shared" si="3"/>
        <v/>
      </c>
      <c r="T21" s="558" t="str">
        <f t="shared" si="4"/>
        <v/>
      </c>
      <c r="U21" s="558" t="str">
        <f t="shared" ref="U21:W21" si="36">IF(E21=0,"",(H21-E21)/E21)</f>
        <v/>
      </c>
      <c r="V21" s="558" t="str">
        <f t="shared" si="36"/>
        <v/>
      </c>
      <c r="W21" s="558" t="str">
        <f t="shared" si="36"/>
        <v/>
      </c>
    </row>
    <row r="22" s="399" customFormat="1" ht="24" customHeight="1" spans="1:23">
      <c r="A22" s="552" t="s">
        <v>27</v>
      </c>
      <c r="B22" s="496">
        <f t="shared" si="20"/>
        <v>15478</v>
      </c>
      <c r="C22" s="497">
        <v>15272</v>
      </c>
      <c r="D22" s="497">
        <v>206</v>
      </c>
      <c r="E22" s="496">
        <f t="shared" si="15"/>
        <v>13370</v>
      </c>
      <c r="F22" s="497">
        <v>13200</v>
      </c>
      <c r="G22" s="497">
        <v>170</v>
      </c>
      <c r="H22" s="496">
        <f t="shared" si="16"/>
        <v>3240</v>
      </c>
      <c r="I22" s="497">
        <v>3100</v>
      </c>
      <c r="J22" s="497">
        <v>140</v>
      </c>
      <c r="K22" s="555"/>
      <c r="L22" s="496">
        <f t="shared" si="17"/>
        <v>-12238</v>
      </c>
      <c r="M22" s="497">
        <f t="shared" si="25"/>
        <v>-12172</v>
      </c>
      <c r="N22" s="497">
        <f t="shared" si="21"/>
        <v>-66</v>
      </c>
      <c r="O22" s="496">
        <f t="shared" si="18"/>
        <v>-10130</v>
      </c>
      <c r="P22" s="497">
        <f t="shared" si="22"/>
        <v>-10100</v>
      </c>
      <c r="Q22" s="497">
        <f t="shared" si="23"/>
        <v>-30</v>
      </c>
      <c r="R22" s="558">
        <f t="shared" si="2"/>
        <v>-0.790670629280269</v>
      </c>
      <c r="S22" s="558">
        <f t="shared" si="3"/>
        <v>-0.797014143530644</v>
      </c>
      <c r="T22" s="558">
        <f t="shared" si="4"/>
        <v>-0.320388349514563</v>
      </c>
      <c r="U22" s="558">
        <f t="shared" ref="U22:W22" si="37">IF(E22=0,"",(H22-E22)/E22)</f>
        <v>-0.757666417352281</v>
      </c>
      <c r="V22" s="558">
        <f t="shared" si="37"/>
        <v>-0.765151515151515</v>
      </c>
      <c r="W22" s="558">
        <f t="shared" si="37"/>
        <v>-0.176470588235294</v>
      </c>
    </row>
    <row r="23" s="399" customFormat="1" ht="24" customHeight="1" spans="1:23">
      <c r="A23" s="463" t="s">
        <v>28</v>
      </c>
      <c r="B23" s="496">
        <f t="shared" ref="B23:J23" si="38">SUM(B25,B27,B29:B34)</f>
        <v>25111</v>
      </c>
      <c r="C23" s="496">
        <f t="shared" si="38"/>
        <v>15875</v>
      </c>
      <c r="D23" s="496">
        <f t="shared" si="38"/>
        <v>9236</v>
      </c>
      <c r="E23" s="496">
        <f t="shared" si="38"/>
        <v>18970</v>
      </c>
      <c r="F23" s="496">
        <f t="shared" si="38"/>
        <v>10450</v>
      </c>
      <c r="G23" s="496">
        <f t="shared" si="38"/>
        <v>8520</v>
      </c>
      <c r="H23" s="496">
        <f t="shared" si="38"/>
        <v>33860</v>
      </c>
      <c r="I23" s="496">
        <f t="shared" si="38"/>
        <v>25480</v>
      </c>
      <c r="J23" s="496">
        <f t="shared" si="38"/>
        <v>8380</v>
      </c>
      <c r="K23" s="555"/>
      <c r="L23" s="496">
        <f t="shared" ref="L23:Q23" si="39">SUM(L25,L27,L29:L34)</f>
        <v>8749</v>
      </c>
      <c r="M23" s="496">
        <f t="shared" si="39"/>
        <v>9605</v>
      </c>
      <c r="N23" s="496">
        <f t="shared" si="39"/>
        <v>-856</v>
      </c>
      <c r="O23" s="496">
        <f t="shared" si="39"/>
        <v>14890</v>
      </c>
      <c r="P23" s="496">
        <f t="shared" si="39"/>
        <v>15030</v>
      </c>
      <c r="Q23" s="496">
        <f t="shared" si="39"/>
        <v>-140</v>
      </c>
      <c r="R23" s="558">
        <f t="shared" si="2"/>
        <v>0.348413046075425</v>
      </c>
      <c r="S23" s="558">
        <f t="shared" si="3"/>
        <v>0.60503937007874</v>
      </c>
      <c r="T23" s="558">
        <f t="shared" si="4"/>
        <v>-0.0926808142052837</v>
      </c>
      <c r="U23" s="558">
        <f t="shared" ref="U23:W23" si="40">IF(E23=0,"",(H23-E23)/E23)</f>
        <v>0.78492356352135</v>
      </c>
      <c r="V23" s="558">
        <f t="shared" si="40"/>
        <v>1.43827751196172</v>
      </c>
      <c r="W23" s="558">
        <f t="shared" si="40"/>
        <v>-0.0164319248826291</v>
      </c>
    </row>
    <row r="24" s="399" customFormat="1" ht="24" customHeight="1" spans="1:23">
      <c r="A24" s="551" t="s">
        <v>12</v>
      </c>
      <c r="B24" s="496">
        <f t="shared" ref="B24:J24" si="41">B23-B28</f>
        <v>25111</v>
      </c>
      <c r="C24" s="496">
        <f t="shared" si="41"/>
        <v>15875</v>
      </c>
      <c r="D24" s="496">
        <f t="shared" si="41"/>
        <v>9236</v>
      </c>
      <c r="E24" s="496">
        <f t="shared" si="41"/>
        <v>18970</v>
      </c>
      <c r="F24" s="496">
        <f t="shared" si="41"/>
        <v>10450</v>
      </c>
      <c r="G24" s="496">
        <f t="shared" si="41"/>
        <v>8520</v>
      </c>
      <c r="H24" s="496">
        <f t="shared" si="41"/>
        <v>33860</v>
      </c>
      <c r="I24" s="496">
        <f t="shared" si="41"/>
        <v>25480</v>
      </c>
      <c r="J24" s="496">
        <f t="shared" si="41"/>
        <v>8380</v>
      </c>
      <c r="K24" s="555"/>
      <c r="L24" s="496">
        <f t="shared" ref="L24:Q24" si="42">L23-L28</f>
        <v>8749</v>
      </c>
      <c r="M24" s="496">
        <f t="shared" si="42"/>
        <v>9605</v>
      </c>
      <c r="N24" s="496">
        <f t="shared" si="42"/>
        <v>-856</v>
      </c>
      <c r="O24" s="496">
        <f t="shared" si="42"/>
        <v>14890</v>
      </c>
      <c r="P24" s="496">
        <f t="shared" si="42"/>
        <v>15030</v>
      </c>
      <c r="Q24" s="496">
        <f t="shared" si="42"/>
        <v>-140</v>
      </c>
      <c r="R24" s="558">
        <f t="shared" si="2"/>
        <v>0.348413046075425</v>
      </c>
      <c r="S24" s="558">
        <f t="shared" si="3"/>
        <v>0.60503937007874</v>
      </c>
      <c r="T24" s="558">
        <f t="shared" si="4"/>
        <v>-0.0926808142052837</v>
      </c>
      <c r="U24" s="558">
        <f t="shared" ref="U24:W24" si="43">IF(E24=0,"",(H24-E24)/E24)</f>
        <v>0.78492356352135</v>
      </c>
      <c r="V24" s="558">
        <f t="shared" si="43"/>
        <v>1.43827751196172</v>
      </c>
      <c r="W24" s="558">
        <f t="shared" si="43"/>
        <v>-0.0164319248826291</v>
      </c>
    </row>
    <row r="25" s="399" customFormat="1" ht="24" customHeight="1" spans="1:23">
      <c r="A25" s="245" t="s">
        <v>29</v>
      </c>
      <c r="B25" s="496">
        <f t="shared" ref="B25:B34" si="44">SUM(C25:D25)</f>
        <v>2720</v>
      </c>
      <c r="C25" s="497">
        <v>2447</v>
      </c>
      <c r="D25" s="497">
        <v>273</v>
      </c>
      <c r="E25" s="496">
        <f t="shared" ref="E25:E34" si="45">SUM(F25:G25)</f>
        <v>3250</v>
      </c>
      <c r="F25" s="497">
        <v>2850</v>
      </c>
      <c r="G25" s="497">
        <v>400</v>
      </c>
      <c r="H25" s="496">
        <f t="shared" ref="H25:H34" si="46">SUM(I25:J25)</f>
        <v>3200</v>
      </c>
      <c r="I25" s="497">
        <v>2850</v>
      </c>
      <c r="J25" s="497">
        <v>350</v>
      </c>
      <c r="K25" s="555"/>
      <c r="L25" s="496">
        <f t="shared" ref="L25:L34" si="47">SUM(M25:N25)</f>
        <v>480</v>
      </c>
      <c r="M25" s="497">
        <f t="shared" ref="M25:M34" si="48">I25-C25</f>
        <v>403</v>
      </c>
      <c r="N25" s="497">
        <f t="shared" ref="N25:N34" si="49">J25-D25</f>
        <v>77</v>
      </c>
      <c r="O25" s="496">
        <f t="shared" ref="O25:O34" si="50">SUM(P25:Q25)</f>
        <v>-50</v>
      </c>
      <c r="P25" s="497">
        <f t="shared" ref="P25:P34" si="51">I25-F25</f>
        <v>0</v>
      </c>
      <c r="Q25" s="497">
        <f t="shared" ref="Q25:Q34" si="52">J25-G25</f>
        <v>-50</v>
      </c>
      <c r="R25" s="558">
        <f t="shared" si="2"/>
        <v>0.176470588235294</v>
      </c>
      <c r="S25" s="558">
        <f t="shared" si="3"/>
        <v>0.164691458929301</v>
      </c>
      <c r="T25" s="558">
        <f t="shared" si="4"/>
        <v>0.282051282051282</v>
      </c>
      <c r="U25" s="558">
        <f t="shared" ref="U25:W25" si="53">IF(E25=0,"",(H25-E25)/E25)</f>
        <v>-0.0153846153846154</v>
      </c>
      <c r="V25" s="558">
        <f t="shared" si="53"/>
        <v>0</v>
      </c>
      <c r="W25" s="558">
        <f t="shared" si="53"/>
        <v>-0.125</v>
      </c>
    </row>
    <row r="26" s="399" customFormat="1" ht="24" customHeight="1" spans="1:23">
      <c r="A26" s="552" t="s">
        <v>30</v>
      </c>
      <c r="B26" s="496">
        <f t="shared" si="44"/>
        <v>2720</v>
      </c>
      <c r="C26" s="497">
        <v>2447</v>
      </c>
      <c r="D26" s="497">
        <v>273</v>
      </c>
      <c r="E26" s="496">
        <f t="shared" si="45"/>
        <v>3250</v>
      </c>
      <c r="F26" s="497">
        <v>2850</v>
      </c>
      <c r="G26" s="497">
        <v>400</v>
      </c>
      <c r="H26" s="496">
        <f t="shared" si="46"/>
        <v>3200</v>
      </c>
      <c r="I26" s="497">
        <v>2850</v>
      </c>
      <c r="J26" s="497">
        <v>350</v>
      </c>
      <c r="K26" s="555"/>
      <c r="L26" s="496">
        <f t="shared" si="47"/>
        <v>480</v>
      </c>
      <c r="M26" s="497">
        <f t="shared" si="48"/>
        <v>403</v>
      </c>
      <c r="N26" s="497">
        <f t="shared" si="49"/>
        <v>77</v>
      </c>
      <c r="O26" s="496">
        <f t="shared" si="50"/>
        <v>-50</v>
      </c>
      <c r="P26" s="497">
        <f t="shared" si="51"/>
        <v>0</v>
      </c>
      <c r="Q26" s="497">
        <f t="shared" si="52"/>
        <v>-50</v>
      </c>
      <c r="R26" s="558">
        <f t="shared" si="2"/>
        <v>0.176470588235294</v>
      </c>
      <c r="S26" s="558">
        <f t="shared" si="3"/>
        <v>0.164691458929301</v>
      </c>
      <c r="T26" s="558">
        <f t="shared" si="4"/>
        <v>0.282051282051282</v>
      </c>
      <c r="U26" s="558">
        <f t="shared" ref="U26:W26" si="54">IF(E26=0,"",(H26-E26)/E26)</f>
        <v>-0.0153846153846154</v>
      </c>
      <c r="V26" s="558">
        <f t="shared" si="54"/>
        <v>0</v>
      </c>
      <c r="W26" s="558">
        <f t="shared" si="54"/>
        <v>-0.125</v>
      </c>
    </row>
    <row r="27" s="399" customFormat="1" ht="24" customHeight="1" spans="1:23">
      <c r="A27" s="245" t="s">
        <v>31</v>
      </c>
      <c r="B27" s="496">
        <f t="shared" si="44"/>
        <v>889</v>
      </c>
      <c r="C27" s="497">
        <v>764</v>
      </c>
      <c r="D27" s="497">
        <v>125</v>
      </c>
      <c r="E27" s="496">
        <f t="shared" si="45"/>
        <v>1090</v>
      </c>
      <c r="F27" s="497">
        <v>1000</v>
      </c>
      <c r="G27" s="497">
        <v>90</v>
      </c>
      <c r="H27" s="496">
        <f t="shared" si="46"/>
        <v>1400</v>
      </c>
      <c r="I27" s="497">
        <v>1400</v>
      </c>
      <c r="J27" s="497">
        <v>0</v>
      </c>
      <c r="K27" s="555"/>
      <c r="L27" s="496">
        <f t="shared" si="47"/>
        <v>511</v>
      </c>
      <c r="M27" s="497">
        <f t="shared" si="48"/>
        <v>636</v>
      </c>
      <c r="N27" s="497">
        <f t="shared" si="49"/>
        <v>-125</v>
      </c>
      <c r="O27" s="496">
        <f t="shared" si="50"/>
        <v>310</v>
      </c>
      <c r="P27" s="497">
        <f t="shared" si="51"/>
        <v>400</v>
      </c>
      <c r="Q27" s="497">
        <f t="shared" si="52"/>
        <v>-90</v>
      </c>
      <c r="R27" s="558">
        <f t="shared" si="2"/>
        <v>0.574803149606299</v>
      </c>
      <c r="S27" s="558">
        <f t="shared" si="3"/>
        <v>0.832460732984293</v>
      </c>
      <c r="T27" s="558">
        <f t="shared" si="4"/>
        <v>-1</v>
      </c>
      <c r="U27" s="558">
        <f t="shared" ref="U27:W27" si="55">IF(E27=0,"",(H27-E27)/E27)</f>
        <v>0.284403669724771</v>
      </c>
      <c r="V27" s="558">
        <f t="shared" si="55"/>
        <v>0.4</v>
      </c>
      <c r="W27" s="558">
        <f t="shared" si="55"/>
        <v>-1</v>
      </c>
    </row>
    <row r="28" s="399" customFormat="1" ht="24" customHeight="1" spans="1:23">
      <c r="A28" s="553" t="s">
        <v>32</v>
      </c>
      <c r="B28" s="496">
        <f t="shared" si="44"/>
        <v>0</v>
      </c>
      <c r="C28" s="497">
        <v>0</v>
      </c>
      <c r="D28" s="497">
        <v>0</v>
      </c>
      <c r="E28" s="496">
        <f t="shared" si="45"/>
        <v>0</v>
      </c>
      <c r="F28" s="497">
        <v>0</v>
      </c>
      <c r="G28" s="497">
        <v>0</v>
      </c>
      <c r="H28" s="496">
        <f t="shared" si="46"/>
        <v>0</v>
      </c>
      <c r="I28" s="497">
        <v>0</v>
      </c>
      <c r="J28" s="497">
        <v>0</v>
      </c>
      <c r="K28" s="555"/>
      <c r="L28" s="496">
        <f t="shared" si="47"/>
        <v>0</v>
      </c>
      <c r="M28" s="497">
        <f t="shared" si="48"/>
        <v>0</v>
      </c>
      <c r="N28" s="497">
        <f t="shared" si="49"/>
        <v>0</v>
      </c>
      <c r="O28" s="496">
        <f t="shared" si="50"/>
        <v>0</v>
      </c>
      <c r="P28" s="497">
        <f t="shared" si="51"/>
        <v>0</v>
      </c>
      <c r="Q28" s="497">
        <f t="shared" si="52"/>
        <v>0</v>
      </c>
      <c r="R28" s="558" t="str">
        <f t="shared" si="2"/>
        <v/>
      </c>
      <c r="S28" s="558" t="str">
        <f t="shared" si="3"/>
        <v/>
      </c>
      <c r="T28" s="558" t="str">
        <f t="shared" si="4"/>
        <v/>
      </c>
      <c r="U28" s="558" t="str">
        <f t="shared" ref="U28:W28" si="56">IF(E28=0,"",(H28-E28)/E28)</f>
        <v/>
      </c>
      <c r="V28" s="558" t="str">
        <f t="shared" si="56"/>
        <v/>
      </c>
      <c r="W28" s="558" t="str">
        <f t="shared" si="56"/>
        <v/>
      </c>
    </row>
    <row r="29" s="399" customFormat="1" ht="24" customHeight="1" spans="1:23">
      <c r="A29" s="245" t="s">
        <v>33</v>
      </c>
      <c r="B29" s="496">
        <f t="shared" si="44"/>
        <v>1074</v>
      </c>
      <c r="C29" s="497">
        <v>1074</v>
      </c>
      <c r="D29" s="497">
        <v>0</v>
      </c>
      <c r="E29" s="496">
        <f t="shared" si="45"/>
        <v>1500</v>
      </c>
      <c r="F29" s="497">
        <v>1500</v>
      </c>
      <c r="G29" s="497">
        <v>0</v>
      </c>
      <c r="H29" s="496">
        <f t="shared" si="46"/>
        <v>1500</v>
      </c>
      <c r="I29" s="497">
        <v>1500</v>
      </c>
      <c r="J29" s="497">
        <v>0</v>
      </c>
      <c r="K29" s="555"/>
      <c r="L29" s="496">
        <f t="shared" si="47"/>
        <v>426</v>
      </c>
      <c r="M29" s="497">
        <f t="shared" si="48"/>
        <v>426</v>
      </c>
      <c r="N29" s="497">
        <f t="shared" si="49"/>
        <v>0</v>
      </c>
      <c r="O29" s="496">
        <f t="shared" si="50"/>
        <v>0</v>
      </c>
      <c r="P29" s="497">
        <f t="shared" si="51"/>
        <v>0</v>
      </c>
      <c r="Q29" s="497">
        <f t="shared" si="52"/>
        <v>0</v>
      </c>
      <c r="R29" s="558">
        <f t="shared" si="2"/>
        <v>0.396648044692737</v>
      </c>
      <c r="S29" s="558">
        <f t="shared" si="3"/>
        <v>0.396648044692737</v>
      </c>
      <c r="T29" s="558" t="str">
        <f t="shared" si="4"/>
        <v/>
      </c>
      <c r="U29" s="558">
        <f t="shared" ref="U29:W29" si="57">IF(E29=0,"",(H29-E29)/E29)</f>
        <v>0</v>
      </c>
      <c r="V29" s="558">
        <f t="shared" si="57"/>
        <v>0</v>
      </c>
      <c r="W29" s="558" t="str">
        <f t="shared" si="57"/>
        <v/>
      </c>
    </row>
    <row r="30" s="399" customFormat="1" ht="24" customHeight="1" spans="1:23">
      <c r="A30" s="245" t="s">
        <v>34</v>
      </c>
      <c r="B30" s="496">
        <f t="shared" si="44"/>
        <v>0</v>
      </c>
      <c r="C30" s="497">
        <v>0</v>
      </c>
      <c r="D30" s="497">
        <v>0</v>
      </c>
      <c r="E30" s="496">
        <f t="shared" si="45"/>
        <v>0</v>
      </c>
      <c r="F30" s="497">
        <v>0</v>
      </c>
      <c r="G30" s="497">
        <v>0</v>
      </c>
      <c r="H30" s="496">
        <f t="shared" si="46"/>
        <v>0</v>
      </c>
      <c r="I30" s="497">
        <v>0</v>
      </c>
      <c r="J30" s="497">
        <v>0</v>
      </c>
      <c r="K30" s="555"/>
      <c r="L30" s="496">
        <f t="shared" si="47"/>
        <v>0</v>
      </c>
      <c r="M30" s="497">
        <f t="shared" si="48"/>
        <v>0</v>
      </c>
      <c r="N30" s="497">
        <f t="shared" si="49"/>
        <v>0</v>
      </c>
      <c r="O30" s="496">
        <f t="shared" si="50"/>
        <v>0</v>
      </c>
      <c r="P30" s="497">
        <f t="shared" si="51"/>
        <v>0</v>
      </c>
      <c r="Q30" s="497">
        <f t="shared" si="52"/>
        <v>0</v>
      </c>
      <c r="R30" s="558" t="str">
        <f t="shared" si="2"/>
        <v/>
      </c>
      <c r="S30" s="558" t="str">
        <f t="shared" si="3"/>
        <v/>
      </c>
      <c r="T30" s="558" t="str">
        <f t="shared" si="4"/>
        <v/>
      </c>
      <c r="U30" s="558" t="str">
        <f t="shared" ref="U30:W30" si="58">IF(E30=0,"",(H30-E30)/E30)</f>
        <v/>
      </c>
      <c r="V30" s="558" t="str">
        <f t="shared" si="58"/>
        <v/>
      </c>
      <c r="W30" s="558" t="str">
        <f t="shared" si="58"/>
        <v/>
      </c>
    </row>
    <row r="31" s="399" customFormat="1" ht="24" customHeight="1" spans="1:23">
      <c r="A31" s="245" t="s">
        <v>35</v>
      </c>
      <c r="B31" s="496">
        <f t="shared" si="44"/>
        <v>20387</v>
      </c>
      <c r="C31" s="497">
        <v>11549</v>
      </c>
      <c r="D31" s="497">
        <v>8838</v>
      </c>
      <c r="E31" s="496">
        <f t="shared" si="45"/>
        <v>13030</v>
      </c>
      <c r="F31" s="497">
        <v>5000</v>
      </c>
      <c r="G31" s="497">
        <v>8030</v>
      </c>
      <c r="H31" s="496">
        <f t="shared" si="46"/>
        <v>26530</v>
      </c>
      <c r="I31" s="556">
        <v>18500</v>
      </c>
      <c r="J31" s="556">
        <v>8030</v>
      </c>
      <c r="K31" s="555"/>
      <c r="L31" s="496">
        <f t="shared" si="47"/>
        <v>6143</v>
      </c>
      <c r="M31" s="497">
        <f t="shared" si="48"/>
        <v>6951</v>
      </c>
      <c r="N31" s="497">
        <f t="shared" si="49"/>
        <v>-808</v>
      </c>
      <c r="O31" s="496">
        <f t="shared" si="50"/>
        <v>13500</v>
      </c>
      <c r="P31" s="497">
        <f t="shared" si="51"/>
        <v>13500</v>
      </c>
      <c r="Q31" s="497">
        <f t="shared" si="52"/>
        <v>0</v>
      </c>
      <c r="R31" s="558">
        <f t="shared" si="2"/>
        <v>0.301319468288615</v>
      </c>
      <c r="S31" s="558">
        <f t="shared" si="3"/>
        <v>0.601870291800156</v>
      </c>
      <c r="T31" s="558">
        <f t="shared" si="4"/>
        <v>-0.0914233989590405</v>
      </c>
      <c r="U31" s="558">
        <f t="shared" ref="U31:W31" si="59">IF(E31=0,"",(H31-E31)/E31)</f>
        <v>1.03607060629317</v>
      </c>
      <c r="V31" s="558">
        <f t="shared" si="59"/>
        <v>2.7</v>
      </c>
      <c r="W31" s="558">
        <f t="shared" si="59"/>
        <v>0</v>
      </c>
    </row>
    <row r="32" s="399" customFormat="1" ht="24" customHeight="1" spans="1:23">
      <c r="A32" s="245" t="s">
        <v>36</v>
      </c>
      <c r="B32" s="496">
        <f t="shared" si="44"/>
        <v>0</v>
      </c>
      <c r="C32" s="497">
        <v>0</v>
      </c>
      <c r="D32" s="497">
        <v>0</v>
      </c>
      <c r="E32" s="496">
        <f t="shared" si="45"/>
        <v>0</v>
      </c>
      <c r="F32" s="497">
        <v>0</v>
      </c>
      <c r="G32" s="497">
        <v>0</v>
      </c>
      <c r="H32" s="496">
        <f t="shared" si="46"/>
        <v>0</v>
      </c>
      <c r="I32" s="497">
        <v>0</v>
      </c>
      <c r="J32" s="497">
        <v>0</v>
      </c>
      <c r="K32" s="555"/>
      <c r="L32" s="496">
        <f t="shared" si="47"/>
        <v>0</v>
      </c>
      <c r="M32" s="497">
        <f t="shared" si="48"/>
        <v>0</v>
      </c>
      <c r="N32" s="497">
        <f t="shared" si="49"/>
        <v>0</v>
      </c>
      <c r="O32" s="496">
        <f t="shared" si="50"/>
        <v>0</v>
      </c>
      <c r="P32" s="497">
        <f t="shared" si="51"/>
        <v>0</v>
      </c>
      <c r="Q32" s="497">
        <f t="shared" si="52"/>
        <v>0</v>
      </c>
      <c r="R32" s="558" t="str">
        <f t="shared" si="2"/>
        <v/>
      </c>
      <c r="S32" s="558" t="str">
        <f t="shared" si="3"/>
        <v/>
      </c>
      <c r="T32" s="558" t="str">
        <f t="shared" si="4"/>
        <v/>
      </c>
      <c r="U32" s="558" t="str">
        <f t="shared" ref="U32:W32" si="60">IF(E32=0,"",(H32-E32)/E32)</f>
        <v/>
      </c>
      <c r="V32" s="558" t="str">
        <f t="shared" si="60"/>
        <v/>
      </c>
      <c r="W32" s="558" t="str">
        <f t="shared" si="60"/>
        <v/>
      </c>
    </row>
    <row r="33" s="399" customFormat="1" ht="24" customHeight="1" spans="1:23">
      <c r="A33" s="245" t="s">
        <v>37</v>
      </c>
      <c r="B33" s="496">
        <f t="shared" si="44"/>
        <v>41</v>
      </c>
      <c r="C33" s="497">
        <v>41</v>
      </c>
      <c r="D33" s="497">
        <v>0</v>
      </c>
      <c r="E33" s="496">
        <f t="shared" si="45"/>
        <v>100</v>
      </c>
      <c r="F33" s="497">
        <v>100</v>
      </c>
      <c r="G33" s="497">
        <v>0</v>
      </c>
      <c r="H33" s="496">
        <f t="shared" si="46"/>
        <v>1100</v>
      </c>
      <c r="I33" s="497">
        <v>1100</v>
      </c>
      <c r="J33" s="497">
        <v>0</v>
      </c>
      <c r="K33" s="555"/>
      <c r="L33" s="496">
        <f t="shared" si="47"/>
        <v>1059</v>
      </c>
      <c r="M33" s="497">
        <f t="shared" si="48"/>
        <v>1059</v>
      </c>
      <c r="N33" s="497">
        <f t="shared" si="49"/>
        <v>0</v>
      </c>
      <c r="O33" s="496">
        <f t="shared" si="50"/>
        <v>1000</v>
      </c>
      <c r="P33" s="497">
        <f t="shared" si="51"/>
        <v>1000</v>
      </c>
      <c r="Q33" s="497">
        <f t="shared" si="52"/>
        <v>0</v>
      </c>
      <c r="R33" s="558">
        <f t="shared" si="2"/>
        <v>25.8292682926829</v>
      </c>
      <c r="S33" s="558">
        <f t="shared" si="3"/>
        <v>25.8292682926829</v>
      </c>
      <c r="T33" s="558" t="str">
        <f t="shared" si="4"/>
        <v/>
      </c>
      <c r="U33" s="558">
        <f t="shared" ref="U33:W33" si="61">IF(E33=0,"",(H33-E33)/E33)</f>
        <v>10</v>
      </c>
      <c r="V33" s="558">
        <f t="shared" si="61"/>
        <v>10</v>
      </c>
      <c r="W33" s="558" t="str">
        <f t="shared" si="61"/>
        <v/>
      </c>
    </row>
    <row r="34" s="399" customFormat="1" ht="24" customHeight="1" spans="1:23">
      <c r="A34" s="245" t="s">
        <v>38</v>
      </c>
      <c r="B34" s="496">
        <f t="shared" si="44"/>
        <v>0</v>
      </c>
      <c r="C34" s="497">
        <v>0</v>
      </c>
      <c r="D34" s="497">
        <v>0</v>
      </c>
      <c r="E34" s="496">
        <f t="shared" si="45"/>
        <v>0</v>
      </c>
      <c r="F34" s="497">
        <v>0</v>
      </c>
      <c r="G34" s="497">
        <v>0</v>
      </c>
      <c r="H34" s="496">
        <f t="shared" si="46"/>
        <v>130</v>
      </c>
      <c r="I34" s="497">
        <v>130</v>
      </c>
      <c r="J34" s="497">
        <v>0</v>
      </c>
      <c r="K34" s="555"/>
      <c r="L34" s="496">
        <f t="shared" si="47"/>
        <v>130</v>
      </c>
      <c r="M34" s="497">
        <f t="shared" si="48"/>
        <v>130</v>
      </c>
      <c r="N34" s="497">
        <f t="shared" si="49"/>
        <v>0</v>
      </c>
      <c r="O34" s="496">
        <f t="shared" si="50"/>
        <v>130</v>
      </c>
      <c r="P34" s="497">
        <f t="shared" si="51"/>
        <v>130</v>
      </c>
      <c r="Q34" s="497">
        <f t="shared" si="52"/>
        <v>0</v>
      </c>
      <c r="R34" s="558" t="str">
        <f t="shared" si="2"/>
        <v/>
      </c>
      <c r="S34" s="558" t="str">
        <f t="shared" si="3"/>
        <v/>
      </c>
      <c r="T34" s="558" t="str">
        <f t="shared" si="4"/>
        <v/>
      </c>
      <c r="U34" s="558" t="str">
        <f t="shared" ref="U34:W34" si="62">IF(E34=0,"",(H34-E34)/E34)</f>
        <v/>
      </c>
      <c r="V34" s="558" t="str">
        <f t="shared" si="62"/>
        <v/>
      </c>
      <c r="W34" s="558" t="str">
        <f t="shared" si="62"/>
        <v/>
      </c>
    </row>
  </sheetData>
  <mergeCells count="9">
    <mergeCell ref="A1:J1"/>
    <mergeCell ref="B3:D3"/>
    <mergeCell ref="E3:G3"/>
    <mergeCell ref="H3:J3"/>
    <mergeCell ref="L3:N3"/>
    <mergeCell ref="O3:Q3"/>
    <mergeCell ref="R3:T3"/>
    <mergeCell ref="U3:W3"/>
    <mergeCell ref="A3:A4"/>
  </mergeCells>
  <printOptions horizontalCentered="1"/>
  <pageMargins left="0.393055555555556" right="0.196527777777778" top="0.590277777777778" bottom="0.393055555555556" header="0.393055555555556" footer="0.196527777777778"/>
  <pageSetup paperSize="9" scale="83" fitToHeight="0" orientation="portrait" horizontalDpi="600"/>
  <headerFooter>
    <oddHeader>&amp;L&amp;"黑体"&amp;12表一：</oddHeader>
    <oddFooter>&amp;C&amp;"黑体"&amp;9第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2:H346"/>
  <sheetViews>
    <sheetView showZeros="0" zoomScale="90" zoomScaleNormal="90" topLeftCell="A324" workbookViewId="0">
      <selection activeCell="K10" sqref="K10"/>
    </sheetView>
  </sheetViews>
  <sheetFormatPr defaultColWidth="8" defaultRowHeight="12.75" customHeight="1" outlineLevelCol="7"/>
  <cols>
    <col min="1" max="1" width="44.125" style="1" customWidth="1"/>
    <col min="2" max="2" width="9.625" style="1" customWidth="1"/>
    <col min="3" max="4" width="9.625" style="398" customWidth="1"/>
    <col min="5" max="5" width="9.625" style="1" customWidth="1"/>
    <col min="6" max="6" width="9.625" style="398" customWidth="1"/>
    <col min="7" max="7" width="9.625" style="1" customWidth="1"/>
    <col min="8" max="8" width="6.625" style="6" customWidth="1"/>
    <col min="9" max="16384" width="8" style="6"/>
  </cols>
  <sheetData>
    <row r="2" s="379" customFormat="1" ht="36" customHeight="1" spans="1:7">
      <c r="A2" s="532" t="s">
        <v>39</v>
      </c>
      <c r="B2" s="532"/>
      <c r="C2" s="533"/>
      <c r="D2" s="533"/>
      <c r="E2" s="532"/>
      <c r="F2" s="533"/>
      <c r="G2" s="532"/>
    </row>
    <row r="3" s="1" customFormat="1" ht="15" spans="1:7">
      <c r="A3" s="380"/>
      <c r="B3" s="380"/>
      <c r="C3" s="534"/>
      <c r="D3" s="534"/>
      <c r="E3" s="380"/>
      <c r="F3" s="534"/>
      <c r="G3" s="395" t="s">
        <v>1</v>
      </c>
    </row>
    <row r="4" s="1" customFormat="1" ht="21.75" customHeight="1" spans="1:7">
      <c r="A4" s="503" t="s">
        <v>40</v>
      </c>
      <c r="B4" s="535" t="s">
        <v>41</v>
      </c>
      <c r="C4" s="536"/>
      <c r="D4" s="536"/>
      <c r="E4" s="385" t="s">
        <v>5</v>
      </c>
      <c r="F4" s="537"/>
      <c r="G4" s="385"/>
    </row>
    <row r="5" s="526" customFormat="1" ht="21.75" customHeight="1" spans="1:7">
      <c r="A5" s="386"/>
      <c r="B5" s="386" t="s">
        <v>8</v>
      </c>
      <c r="C5" s="387" t="s">
        <v>9</v>
      </c>
      <c r="D5" s="387" t="s">
        <v>10</v>
      </c>
      <c r="E5" s="396" t="s">
        <v>8</v>
      </c>
      <c r="F5" s="397" t="s">
        <v>9</v>
      </c>
      <c r="G5" s="396" t="s">
        <v>10</v>
      </c>
    </row>
    <row r="6" s="1" customFormat="1" ht="21.75" customHeight="1" spans="1:7">
      <c r="A6" s="390" t="s">
        <v>42</v>
      </c>
      <c r="B6" s="538">
        <f t="shared" ref="B6:B8" si="0">C6+D6</f>
        <v>202376.266437</v>
      </c>
      <c r="C6" s="539">
        <f t="shared" ref="C6:G6" si="1">C7+C82+C85+C96+C106+C115+C127+C175+C206+C221+C233+C274+C280+C299+C305+C311+C329+C332+C340+C343+C291+C296</f>
        <v>177749.6207</v>
      </c>
      <c r="D6" s="539">
        <f t="shared" si="1"/>
        <v>24626.645737</v>
      </c>
      <c r="E6" s="538">
        <f t="shared" ref="E6:E8" si="2">F6+G6</f>
        <v>302785.557486</v>
      </c>
      <c r="F6" s="539">
        <f>F7+F82+F85+F96+F106+F115+F127+F175+F206+F221+F233+F274+F280+F299+F305+F311+F329+F332+F340+F343+F291+F296</f>
        <v>282325.341749</v>
      </c>
      <c r="G6" s="539">
        <f t="shared" si="1"/>
        <v>20460.215737</v>
      </c>
    </row>
    <row r="7" s="1" customFormat="1" ht="21.75" customHeight="1" spans="1:7">
      <c r="A7" s="510" t="s">
        <v>43</v>
      </c>
      <c r="B7" s="540">
        <f t="shared" si="0"/>
        <v>26952.725995</v>
      </c>
      <c r="C7" s="541">
        <f>C8+C18+C21+C25+C29+C36+C38+C42+C46+C50+C52+C57+C61+C64+C69+C73+C76</f>
        <v>22847.319025</v>
      </c>
      <c r="D7" s="541">
        <f>D8+D18+D13+D21+D25+D29+D36+D38+D42+D46+D50+D52+D57+D61+D64+D69+D73+D76</f>
        <v>4105.40697</v>
      </c>
      <c r="E7" s="541">
        <f t="shared" si="2"/>
        <v>28816.993692</v>
      </c>
      <c r="F7" s="541">
        <f>F8+F18+F21+F25+F29+F36+F38+F42+F46+F50+F52+F57+F61+F64+F69+F73+F76</f>
        <v>24636.616722</v>
      </c>
      <c r="G7" s="541">
        <f>G8+G13+G18+G21+G25+G29+G36+G38+G42+G46+G50+G52+G57+G61+G64+G69+G73+G76</f>
        <v>4180.37697</v>
      </c>
    </row>
    <row r="8" s="1" customFormat="1" ht="21.75" customHeight="1" spans="1:7">
      <c r="A8" s="512" t="s">
        <v>44</v>
      </c>
      <c r="B8" s="542">
        <f t="shared" si="0"/>
        <v>902.879189</v>
      </c>
      <c r="C8" s="542">
        <f t="shared" ref="C8:G8" si="3">SUM(C9:C12)</f>
        <v>25</v>
      </c>
      <c r="D8" s="542">
        <f t="shared" si="3"/>
        <v>877.879189</v>
      </c>
      <c r="E8" s="542">
        <f t="shared" si="2"/>
        <v>920.369189</v>
      </c>
      <c r="F8" s="542">
        <f t="shared" si="3"/>
        <v>25</v>
      </c>
      <c r="G8" s="542">
        <f t="shared" si="3"/>
        <v>895.369189</v>
      </c>
    </row>
    <row r="9" s="1" customFormat="1" ht="21.75" customHeight="1" spans="1:7">
      <c r="A9" s="514" t="s">
        <v>45</v>
      </c>
      <c r="B9" s="543"/>
      <c r="C9" s="544"/>
      <c r="D9" s="545">
        <v>825.979189</v>
      </c>
      <c r="E9" s="546"/>
      <c r="F9" s="544">
        <f>SUMIFS('项目支出总表（开）'!V:V,'项目支出总表（开）'!C:C,MID(TRIM(A9),2,7))+SUMIFS('基本支出总表（开）'!M:M,'基本支出总表（开）'!C:C,MID(TRIM(A9),2,7))</f>
        <v>0</v>
      </c>
      <c r="G9" s="547">
        <f>SUMIFS('项目支出总表（铁）'!U:U,'项目支出总表（铁）'!C:C,MID(TRIM(A9),2,7))+SUMIFS('基本支出总表（铁）'!M:M,'基本支出总表（铁）'!C:C,MID(TRIM(A9),2,7))</f>
        <v>825.979189</v>
      </c>
    </row>
    <row r="10" s="1" customFormat="1" ht="21.75" customHeight="1" spans="1:7">
      <c r="A10" s="514" t="s">
        <v>46</v>
      </c>
      <c r="B10" s="543"/>
      <c r="C10" s="544"/>
      <c r="D10" s="545">
        <v>17</v>
      </c>
      <c r="E10" s="546"/>
      <c r="F10" s="544">
        <f>SUMIFS('项目支出总表（开）'!V:V,'项目支出总表（开）'!C:C,MID(TRIM(A10),2,7))+SUMIFS('基本支出总表（开）'!M:M,'基本支出总表（开）'!C:C,MID(TRIM(A10),2,7))</f>
        <v>0</v>
      </c>
      <c r="G10" s="547">
        <f>SUMIFS('项目支出总表（铁）'!U:U,'项目支出总表（铁）'!C:C,MID(TRIM(A10),2,7))+SUMIFS('基本支出总表（铁）'!M:M,'基本支出总表（铁）'!C:C,MID(TRIM(A10),2,7))</f>
        <v>21.82</v>
      </c>
    </row>
    <row r="11" s="1" customFormat="1" ht="21.75" customHeight="1" spans="1:7">
      <c r="A11" s="514" t="s">
        <v>47</v>
      </c>
      <c r="B11" s="543"/>
      <c r="C11" s="544"/>
      <c r="D11" s="545">
        <v>16</v>
      </c>
      <c r="E11" s="546"/>
      <c r="F11" s="544">
        <f>SUMIFS('项目支出总表（开）'!V:V,'项目支出总表（开）'!C:C,MID(TRIM(A11),2,7))+SUMIFS('基本支出总表（开）'!M:M,'基本支出总表（开）'!C:C,MID(TRIM(A11),2,7))</f>
        <v>0</v>
      </c>
      <c r="G11" s="547">
        <f>SUMIFS('项目支出总表（铁）'!U:U,'项目支出总表（铁）'!C:C,MID(TRIM(A11),2,7))+SUMIFS('基本支出总表（铁）'!M:M,'基本支出总表（铁）'!C:C,MID(TRIM(A11),2,7))</f>
        <v>23.84</v>
      </c>
    </row>
    <row r="12" s="1" customFormat="1" ht="21.75" customHeight="1" spans="1:7">
      <c r="A12" s="514" t="s">
        <v>48</v>
      </c>
      <c r="B12" s="543"/>
      <c r="C12" s="544">
        <v>25</v>
      </c>
      <c r="D12" s="545">
        <v>18.9</v>
      </c>
      <c r="E12" s="546"/>
      <c r="F12" s="544">
        <f>SUMIFS('项目支出总表（开）'!V:V,'项目支出总表（开）'!C:C,MID(TRIM(A12),2,7))+SUMIFS('基本支出总表（开）'!M:M,'基本支出总表（开）'!C:C,MID(TRIM(A12),2,7))</f>
        <v>25</v>
      </c>
      <c r="G12" s="547">
        <f>SUMIFS('项目支出总表（铁）'!U:U,'项目支出总表（铁）'!C:C,MID(TRIM(A12),2,7))+SUMIFS('基本支出总表（铁）'!M:M,'基本支出总表（铁）'!C:C,MID(TRIM(A12),2,7))</f>
        <v>23.73</v>
      </c>
    </row>
    <row r="13" s="1" customFormat="1" ht="21.75" customHeight="1" spans="1:7">
      <c r="A13" s="512" t="s">
        <v>49</v>
      </c>
      <c r="B13" s="542">
        <f>C13+D13</f>
        <v>738.765097</v>
      </c>
      <c r="C13" s="542">
        <f t="shared" ref="C13:G13" si="4">SUM(C14:C17)</f>
        <v>0</v>
      </c>
      <c r="D13" s="542">
        <f t="shared" si="4"/>
        <v>738.765097</v>
      </c>
      <c r="E13" s="542">
        <f>F13+G13</f>
        <v>757.525097</v>
      </c>
      <c r="F13" s="542">
        <f t="shared" si="4"/>
        <v>0</v>
      </c>
      <c r="G13" s="542">
        <f t="shared" si="4"/>
        <v>757.525097</v>
      </c>
    </row>
    <row r="14" s="1" customFormat="1" ht="21.75" customHeight="1" spans="1:7">
      <c r="A14" s="514" t="s">
        <v>50</v>
      </c>
      <c r="B14" s="543"/>
      <c r="C14" s="544"/>
      <c r="D14" s="545">
        <v>694.865097</v>
      </c>
      <c r="E14" s="546"/>
      <c r="F14" s="544">
        <f>SUMIFS('项目支出总表（开）'!V:V,'项目支出总表（开）'!C:C,MID(TRIM(A14),2,7))+SUMIFS('基本支出总表（开）'!M:M,'基本支出总表（开）'!C:C,MID(TRIM(A14),2,7))</f>
        <v>0</v>
      </c>
      <c r="G14" s="547">
        <f>SUMIFS('项目支出总表（铁）'!U:U,'项目支出总表（铁）'!C:C,MID(TRIM(A14),2,7))+SUMIFS('基本支出总表（铁）'!M:M,'基本支出总表（铁）'!C:C,MID(TRIM(A14),2,7))</f>
        <v>694.865097</v>
      </c>
    </row>
    <row r="15" s="1" customFormat="1" ht="21.75" customHeight="1" spans="1:7">
      <c r="A15" s="514" t="s">
        <v>51</v>
      </c>
      <c r="B15" s="543"/>
      <c r="C15" s="544"/>
      <c r="D15" s="545">
        <v>13</v>
      </c>
      <c r="E15" s="546"/>
      <c r="F15" s="544">
        <f>SUMIFS('项目支出总表（开）'!V:V,'项目支出总表（开）'!C:C,MID(TRIM(A15),2,7))+SUMIFS('基本支出总表（开）'!M:M,'基本支出总表（开）'!C:C,MID(TRIM(A15),2,7))</f>
        <v>0</v>
      </c>
      <c r="G15" s="547">
        <f>SUMIFS('项目支出总表（铁）'!U:U,'项目支出总表（铁）'!C:C,MID(TRIM(A15),2,7))+SUMIFS('基本支出总表（铁）'!M:M,'基本支出总表（铁）'!C:C,MID(TRIM(A15),2,7))</f>
        <v>16.9</v>
      </c>
    </row>
    <row r="16" s="1" customFormat="1" ht="21.75" customHeight="1" spans="1:7">
      <c r="A16" s="514" t="s">
        <v>52</v>
      </c>
      <c r="B16" s="543"/>
      <c r="C16" s="544"/>
      <c r="D16" s="545">
        <v>16</v>
      </c>
      <c r="E16" s="546"/>
      <c r="F16" s="544">
        <f>SUMIFS('项目支出总表（开）'!V:V,'项目支出总表（开）'!C:C,MID(TRIM(A16),2,7))+SUMIFS('基本支出总表（开）'!M:M,'基本支出总表（开）'!C:C,MID(TRIM(A16),2,7))</f>
        <v>0</v>
      </c>
      <c r="G16" s="547">
        <f>SUMIFS('项目支出总表（铁）'!U:U,'项目支出总表（铁）'!C:C,MID(TRIM(A16),2,7))+SUMIFS('基本支出总表（铁）'!M:M,'基本支出总表（铁）'!C:C,MID(TRIM(A16),2,7))</f>
        <v>20.81</v>
      </c>
    </row>
    <row r="17" s="1" customFormat="1" ht="21.75" customHeight="1" spans="1:7">
      <c r="A17" s="514" t="s">
        <v>53</v>
      </c>
      <c r="B17" s="543"/>
      <c r="C17" s="544"/>
      <c r="D17" s="545">
        <v>14.9</v>
      </c>
      <c r="E17" s="546"/>
      <c r="F17" s="544">
        <f>SUMIFS('项目支出总表（开）'!V:V,'项目支出总表（开）'!C:C,MID(TRIM(A17),2,7))+SUMIFS('基本支出总表（开）'!M:M,'基本支出总表（开）'!C:C,MID(TRIM(A17),2,7))</f>
        <v>0</v>
      </c>
      <c r="G17" s="547">
        <f>SUMIFS('项目支出总表（铁）'!U:U,'项目支出总表（铁）'!C:C,MID(TRIM(A17),2,7))+SUMIFS('基本支出总表（铁）'!M:M,'基本支出总表（铁）'!C:C,MID(TRIM(A17),2,7))</f>
        <v>24.95</v>
      </c>
    </row>
    <row r="18" s="1" customFormat="1" ht="21.75" customHeight="1" spans="1:7">
      <c r="A18" s="512" t="s">
        <v>54</v>
      </c>
      <c r="B18" s="542">
        <f>C18+D18</f>
        <v>10341.425953</v>
      </c>
      <c r="C18" s="542">
        <f t="shared" ref="C18:G18" si="5">SUM(C19:C20)</f>
        <v>8452.663269</v>
      </c>
      <c r="D18" s="542">
        <f t="shared" si="5"/>
        <v>1888.762684</v>
      </c>
      <c r="E18" s="542">
        <f>F18+G18</f>
        <v>11425.094058</v>
      </c>
      <c r="F18" s="542">
        <f t="shared" si="5"/>
        <v>9504.611374</v>
      </c>
      <c r="G18" s="542">
        <f t="shared" si="5"/>
        <v>1920.482684</v>
      </c>
    </row>
    <row r="19" s="1" customFormat="1" ht="21.75" customHeight="1" spans="1:7">
      <c r="A19" s="514" t="s">
        <v>55</v>
      </c>
      <c r="B19" s="543"/>
      <c r="C19" s="544">
        <v>4589.333269</v>
      </c>
      <c r="D19" s="545">
        <v>1100.762684</v>
      </c>
      <c r="E19" s="546"/>
      <c r="F19" s="544">
        <f>SUMIFS('项目支出总表（开）'!V:V,'项目支出总表（开）'!C:C,MID(TRIM(A19),2,7))+SUMIFS('基本支出总表（开）'!M:M,'基本支出总表（开）'!C:C,MID(TRIM(A19),2,7))</f>
        <v>5561.453269</v>
      </c>
      <c r="G19" s="547">
        <f>SUMIFS('项目支出总表（铁）'!U:U,'项目支出总表（铁）'!C:C,MID(TRIM(A19),2,7))+SUMIFS('基本支出总表（铁）'!M:M,'基本支出总表（铁）'!C:C,MID(TRIM(A19),2,7))</f>
        <v>1100.762684</v>
      </c>
    </row>
    <row r="20" s="1" customFormat="1" ht="21.75" customHeight="1" spans="1:7">
      <c r="A20" s="514" t="s">
        <v>56</v>
      </c>
      <c r="B20" s="543"/>
      <c r="C20" s="544">
        <v>3863.33</v>
      </c>
      <c r="D20" s="545">
        <v>788</v>
      </c>
      <c r="E20" s="546"/>
      <c r="F20" s="544">
        <f>SUMIFS('项目支出总表（开）'!V:V,'项目支出总表（开）'!C:C,MID(TRIM(A20),2,7))+SUMIFS('基本支出总表（开）'!M:M,'基本支出总表（开）'!C:C,MID(TRIM(A20),2,7))</f>
        <v>3943.158105</v>
      </c>
      <c r="G20" s="547">
        <f>SUMIFS('项目支出总表（铁）'!U:U,'项目支出总表（铁）'!C:C,MID(TRIM(A20),2,7))+SUMIFS('基本支出总表（铁）'!M:M,'基本支出总表（铁）'!C:C,MID(TRIM(A20),2,7))</f>
        <v>819.72</v>
      </c>
    </row>
    <row r="21" s="1" customFormat="1" ht="21.75" customHeight="1" spans="1:7">
      <c r="A21" s="512" t="s">
        <v>57</v>
      </c>
      <c r="B21" s="542">
        <f>C21+D21</f>
        <v>437.387658</v>
      </c>
      <c r="C21" s="542">
        <f t="shared" ref="C21:G21" si="6">SUM(C22:C24)</f>
        <v>437.387658</v>
      </c>
      <c r="D21" s="542">
        <f t="shared" si="6"/>
        <v>0</v>
      </c>
      <c r="E21" s="542">
        <f>F21+G21</f>
        <v>552.407658</v>
      </c>
      <c r="F21" s="542">
        <f t="shared" si="6"/>
        <v>547.407658</v>
      </c>
      <c r="G21" s="542">
        <f t="shared" si="6"/>
        <v>5</v>
      </c>
    </row>
    <row r="22" s="1" customFormat="1" ht="21.75" customHeight="1" spans="1:7">
      <c r="A22" s="514" t="s">
        <v>58</v>
      </c>
      <c r="B22" s="543"/>
      <c r="C22" s="544">
        <v>241.387658</v>
      </c>
      <c r="D22" s="545"/>
      <c r="E22" s="546"/>
      <c r="F22" s="544">
        <f>SUMIFS('项目支出总表（开）'!V:V,'项目支出总表（开）'!C:C,MID(TRIM(A22),2,7))+SUMIFS('基本支出总表（开）'!M:M,'基本支出总表（开）'!C:C,MID(TRIM(A22),2,7))</f>
        <v>243.407658</v>
      </c>
      <c r="G22" s="547">
        <f>SUMIFS('项目支出总表（铁）'!U:U,'项目支出总表（铁）'!C:C,MID(TRIM(A22),2,7))+SUMIFS('基本支出总表（铁）'!M:M,'基本支出总表（铁）'!C:C,MID(TRIM(A22),2,7))</f>
        <v>0</v>
      </c>
    </row>
    <row r="23" s="1" customFormat="1" ht="21.75" customHeight="1" spans="1:7">
      <c r="A23" s="514" t="s">
        <v>59</v>
      </c>
      <c r="B23" s="543"/>
      <c r="C23" s="544">
        <v>196</v>
      </c>
      <c r="D23" s="545"/>
      <c r="E23" s="546"/>
      <c r="F23" s="544">
        <f>SUMIFS('项目支出总表（开）'!V:V,'项目支出总表（开）'!C:C,MID(TRIM(A23),2,7))+SUMIFS('基本支出总表（开）'!M:M,'基本支出总表（开）'!C:C,MID(TRIM(A23),2,7))</f>
        <v>204</v>
      </c>
      <c r="G23" s="547">
        <f>SUMIFS('项目支出总表（铁）'!U:U,'项目支出总表（铁）'!C:C,MID(TRIM(A23),2,7))+SUMIFS('基本支出总表（铁）'!M:M,'基本支出总表（铁）'!C:C,MID(TRIM(A23),2,7))</f>
        <v>0</v>
      </c>
    </row>
    <row r="24" s="1" customFormat="1" ht="21.75" customHeight="1" spans="1:7">
      <c r="A24" s="516" t="s">
        <v>60</v>
      </c>
      <c r="B24" s="548"/>
      <c r="C24" s="544"/>
      <c r="D24" s="545">
        <f>VLOOKUP(A24,'02-2功能项级分类（铁）'!$A$6:$B$82,2,0)</f>
        <v>0</v>
      </c>
      <c r="E24" s="549"/>
      <c r="F24" s="544">
        <f>SUMIFS('项目支出总表（开）'!V:V,'项目支出总表（开）'!C:C,MID(TRIM(A24),2,7))+SUMIFS('基本支出总表（开）'!M:M,'基本支出总表（开）'!C:C,MID(TRIM(A24),2,7))</f>
        <v>100</v>
      </c>
      <c r="G24" s="547">
        <f>SUMIFS('项目支出总表（铁）'!U:U,'项目支出总表（铁）'!C:C,MID(TRIM(A24),2,7))+SUMIFS('基本支出总表（铁）'!M:M,'基本支出总表（铁）'!C:C,MID(TRIM(A24),2,7))</f>
        <v>5</v>
      </c>
    </row>
    <row r="25" s="1" customFormat="1" ht="21.75" customHeight="1" spans="1:7">
      <c r="A25" s="512" t="s">
        <v>61</v>
      </c>
      <c r="B25" s="542">
        <f>C25+D25</f>
        <v>560.924396</v>
      </c>
      <c r="C25" s="542">
        <f t="shared" ref="C25:G25" si="7">SUM(C26:C28)</f>
        <v>560.924396</v>
      </c>
      <c r="D25" s="542">
        <f t="shared" si="7"/>
        <v>0</v>
      </c>
      <c r="E25" s="542">
        <f>F25+G25</f>
        <v>544.124396</v>
      </c>
      <c r="F25" s="542">
        <f>SUM(F26:F28)</f>
        <v>544.124396</v>
      </c>
      <c r="G25" s="542">
        <f t="shared" si="7"/>
        <v>0</v>
      </c>
    </row>
    <row r="26" s="1" customFormat="1" ht="21.75" customHeight="1" spans="1:7">
      <c r="A26" s="514" t="s">
        <v>62</v>
      </c>
      <c r="B26" s="543"/>
      <c r="C26" s="544">
        <v>178.924396</v>
      </c>
      <c r="D26" s="545"/>
      <c r="E26" s="546"/>
      <c r="F26" s="544">
        <f>SUMIFS('项目支出总表（开）'!V:V,'项目支出总表（开）'!C:C,MID(TRIM(A26),2,7))+SUMIFS('基本支出总表（开）'!M:M,'基本支出总表（开）'!C:C,MID(TRIM(A26),2,7))</f>
        <v>178.924396</v>
      </c>
      <c r="G26" s="547">
        <f>SUMIFS('项目支出总表（铁）'!U:U,'项目支出总表（铁）'!C:C,MID(TRIM(A26),2,7))+SUMIFS('基本支出总表（铁）'!M:M,'基本支出总表（铁）'!C:C,MID(TRIM(A26),2,7))</f>
        <v>0</v>
      </c>
    </row>
    <row r="27" s="1" customFormat="1" ht="21.75" customHeight="1" spans="1:7">
      <c r="A27" s="516" t="s">
        <v>63</v>
      </c>
      <c r="B27" s="548"/>
      <c r="C27" s="544"/>
      <c r="D27" s="545"/>
      <c r="E27" s="549"/>
      <c r="F27" s="544">
        <f>SUMIFS('项目支出总表（开）'!V:V,'项目支出总表（开）'!C:C,MID(TRIM(A27),2,7))+SUMIFS('基本支出总表（开）'!M:M,'基本支出总表（开）'!C:C,MID(TRIM(A27),2,7))</f>
        <v>1.2</v>
      </c>
      <c r="G27" s="547">
        <f>SUMIFS('项目支出总表（铁）'!U:U,'项目支出总表（铁）'!C:C,MID(TRIM(A27),2,7))+SUMIFS('基本支出总表（铁）'!M:M,'基本支出总表（铁）'!C:C,MID(TRIM(A27),2,7))</f>
        <v>0</v>
      </c>
    </row>
    <row r="28" s="1" customFormat="1" ht="21.75" customHeight="1" spans="1:7">
      <c r="A28" s="514" t="s">
        <v>64</v>
      </c>
      <c r="B28" s="543"/>
      <c r="C28" s="544">
        <v>382</v>
      </c>
      <c r="D28" s="545"/>
      <c r="E28" s="546"/>
      <c r="F28" s="544">
        <f>SUMIFS('项目支出总表（开）'!V:V,'项目支出总表（开）'!C:C,MID(TRIM(A28),2,7))+SUMIFS('基本支出总表（开）'!M:M,'基本支出总表（开）'!C:C,MID(TRIM(A28),2,7))</f>
        <v>364</v>
      </c>
      <c r="G28" s="547">
        <f>SUMIFS('项目支出总表（铁）'!U:U,'项目支出总表（铁）'!C:C,MID(TRIM(A28),2,7))+SUMIFS('基本支出总表（铁）'!M:M,'基本支出总表（铁）'!C:C,MID(TRIM(A28),2,7))</f>
        <v>0</v>
      </c>
    </row>
    <row r="29" s="1" customFormat="1" ht="21.75" customHeight="1" spans="1:7">
      <c r="A29" s="512" t="s">
        <v>65</v>
      </c>
      <c r="B29" s="542">
        <f>C29+D29</f>
        <v>1681.690655</v>
      </c>
      <c r="C29" s="542">
        <f t="shared" ref="C29:G29" si="8">SUM(C30:C35)</f>
        <v>1681.690655</v>
      </c>
      <c r="D29" s="542">
        <f t="shared" si="8"/>
        <v>0</v>
      </c>
      <c r="E29" s="542">
        <f>F29+G29</f>
        <v>1897.938155</v>
      </c>
      <c r="F29" s="542">
        <f t="shared" si="8"/>
        <v>1895.938155</v>
      </c>
      <c r="G29" s="542">
        <f t="shared" si="8"/>
        <v>2</v>
      </c>
    </row>
    <row r="30" s="1" customFormat="1" ht="21.75" customHeight="1" spans="1:7">
      <c r="A30" s="514" t="s">
        <v>66</v>
      </c>
      <c r="B30" s="543"/>
      <c r="C30" s="544">
        <v>489.148682</v>
      </c>
      <c r="D30" s="545"/>
      <c r="E30" s="546"/>
      <c r="F30" s="544">
        <f>SUMIFS('项目支出总表（开）'!V:V,'项目支出总表（开）'!C:C,MID(TRIM(A30),2,7))+SUMIFS('基本支出总表（开）'!M:M,'基本支出总表（开）'!C:C,MID(TRIM(A30),2,7))</f>
        <v>489.148682</v>
      </c>
      <c r="G30" s="547">
        <f>SUMIFS('项目支出总表（铁）'!U:U,'项目支出总表（铁）'!C:C,MID(TRIM(A30),2,7))+SUMIFS('基本支出总表（铁）'!M:M,'基本支出总表（铁）'!C:C,MID(TRIM(A30),2,7))</f>
        <v>0</v>
      </c>
    </row>
    <row r="31" s="1" customFormat="1" ht="21.75" customHeight="1" spans="1:7">
      <c r="A31" s="516" t="s">
        <v>67</v>
      </c>
      <c r="B31" s="548"/>
      <c r="C31" s="544">
        <v>72.5</v>
      </c>
      <c r="D31" s="545"/>
      <c r="E31" s="549"/>
      <c r="F31" s="544">
        <f>SUMIFS('项目支出总表（开）'!V:V,'项目支出总表（开）'!C:C,MID(TRIM(A31),2,7))+SUMIFS('基本支出总表（开）'!M:M,'基本支出总表（开）'!C:C,MID(TRIM(A31),2,7))</f>
        <v>112.2475</v>
      </c>
      <c r="G31" s="547">
        <f>SUMIFS('项目支出总表（铁）'!U:U,'项目支出总表（铁）'!C:C,MID(TRIM(A31),2,7))+SUMIFS('基本支出总表（铁）'!M:M,'基本支出总表（铁）'!C:C,MID(TRIM(A31),2,7))</f>
        <v>0</v>
      </c>
    </row>
    <row r="32" s="1" customFormat="1" ht="21.75" customHeight="1" spans="1:7">
      <c r="A32" s="516" t="s">
        <v>68</v>
      </c>
      <c r="B32" s="548"/>
      <c r="C32" s="544"/>
      <c r="D32" s="545">
        <f>VLOOKUP(A32,'02-2功能项级分类（铁）'!$A$6:$B$82,2,0)</f>
        <v>0</v>
      </c>
      <c r="E32" s="549"/>
      <c r="F32" s="544">
        <f>SUMIFS('项目支出总表（开）'!V:V,'项目支出总表（开）'!C:C,MID(TRIM(A32),2,7))+SUMIFS('基本支出总表（开）'!M:M,'基本支出总表（开）'!C:C,MID(TRIM(A32),2,7))</f>
        <v>0</v>
      </c>
      <c r="G32" s="547">
        <f>SUMIFS('项目支出总表（铁）'!U:U,'项目支出总表（铁）'!C:C,MID(TRIM(A32),2,7))+SUMIFS('基本支出总表（铁）'!M:M,'基本支出总表（铁）'!C:C,MID(TRIM(A32),2,7))</f>
        <v>2</v>
      </c>
    </row>
    <row r="33" s="1" customFormat="1" ht="21.75" customHeight="1" spans="1:7">
      <c r="A33" s="514" t="s">
        <v>69</v>
      </c>
      <c r="B33" s="543"/>
      <c r="C33" s="544">
        <v>251</v>
      </c>
      <c r="D33" s="545"/>
      <c r="E33" s="546"/>
      <c r="F33" s="544">
        <f>SUMIFS('项目支出总表（开）'!V:V,'项目支出总表（开）'!C:C,MID(TRIM(A33),2,7))+SUMIFS('基本支出总表（开）'!M:M,'基本支出总表（开）'!C:C,MID(TRIM(A33),2,7))</f>
        <v>251</v>
      </c>
      <c r="G33" s="547">
        <f>SUMIFS('项目支出总表（铁）'!U:U,'项目支出总表（铁）'!C:C,MID(TRIM(A33),2,7))+SUMIFS('基本支出总表（铁）'!M:M,'基本支出总表（铁）'!C:C,MID(TRIM(A33),2,7))</f>
        <v>0</v>
      </c>
    </row>
    <row r="34" s="1" customFormat="1" ht="21.75" customHeight="1" spans="1:7">
      <c r="A34" s="514" t="s">
        <v>70</v>
      </c>
      <c r="B34" s="543"/>
      <c r="C34" s="544">
        <v>616.341973</v>
      </c>
      <c r="D34" s="545"/>
      <c r="E34" s="546"/>
      <c r="F34" s="544">
        <f>SUMIFS('项目支出总表（开）'!V:V,'项目支出总表（开）'!C:C,MID(TRIM(A34),2,7))+SUMIFS('基本支出总表（开）'!M:M,'基本支出总表（开）'!C:C,MID(TRIM(A34),2,7))</f>
        <v>686.341973</v>
      </c>
      <c r="G34" s="547">
        <f>SUMIFS('项目支出总表（铁）'!U:U,'项目支出总表（铁）'!C:C,MID(TRIM(A34),2,7))+SUMIFS('基本支出总表（铁）'!M:M,'基本支出总表（铁）'!C:C,MID(TRIM(A34),2,7))</f>
        <v>0</v>
      </c>
    </row>
    <row r="35" s="1" customFormat="1" ht="21.75" customHeight="1" spans="1:7">
      <c r="A35" s="514" t="s">
        <v>71</v>
      </c>
      <c r="B35" s="543"/>
      <c r="C35" s="544">
        <v>252.7</v>
      </c>
      <c r="D35" s="545"/>
      <c r="E35" s="546"/>
      <c r="F35" s="544">
        <f>SUMIFS('项目支出总表（开）'!V:V,'项目支出总表（开）'!C:C,MID(TRIM(A35),2,7))+SUMIFS('基本支出总表（开）'!M:M,'基本支出总表（开）'!C:C,MID(TRIM(A35),2,7))</f>
        <v>357.2</v>
      </c>
      <c r="G35" s="547">
        <f>SUMIFS('项目支出总表（铁）'!U:U,'项目支出总表（铁）'!C:C,MID(TRIM(A35),2,7))+SUMIFS('基本支出总表（铁）'!M:M,'基本支出总表（铁）'!C:C,MID(TRIM(A35),2,7))</f>
        <v>0</v>
      </c>
    </row>
    <row r="36" s="1" customFormat="1" ht="21.75" customHeight="1" spans="1:7">
      <c r="A36" s="512" t="s">
        <v>72</v>
      </c>
      <c r="B36" s="542">
        <f>C36+D36</f>
        <v>2200</v>
      </c>
      <c r="C36" s="542">
        <f t="shared" ref="C36:G36" si="9">SUM(C37)</f>
        <v>1600</v>
      </c>
      <c r="D36" s="542">
        <f t="shared" si="9"/>
        <v>600</v>
      </c>
      <c r="E36" s="542">
        <f>F36+G36</f>
        <v>2300</v>
      </c>
      <c r="F36" s="542">
        <f t="shared" si="9"/>
        <v>1700</v>
      </c>
      <c r="G36" s="542">
        <f t="shared" si="9"/>
        <v>600</v>
      </c>
    </row>
    <row r="37" s="1" customFormat="1" ht="21.75" customHeight="1" spans="1:7">
      <c r="A37" s="514" t="s">
        <v>73</v>
      </c>
      <c r="B37" s="543"/>
      <c r="C37" s="544">
        <v>1600</v>
      </c>
      <c r="D37" s="545">
        <v>600</v>
      </c>
      <c r="E37" s="546"/>
      <c r="F37" s="544">
        <f>SUMIFS('项目支出总表（开）'!V:V,'项目支出总表（开）'!C:C,MID(TRIM(A37),2,7))+SUMIFS('基本支出总表（开）'!M:M,'基本支出总表（开）'!C:C,MID(TRIM(A37),2,7))</f>
        <v>1700</v>
      </c>
      <c r="G37" s="547">
        <f>SUMIFS('项目支出总表（铁）'!U:U,'项目支出总表（铁）'!C:C,MID(TRIM(A37),2,7))+SUMIFS('基本支出总表（铁）'!M:M,'基本支出总表（铁）'!C:C,MID(TRIM(A37),2,7))</f>
        <v>600</v>
      </c>
    </row>
    <row r="38" s="1" customFormat="1" ht="21.75" customHeight="1" spans="1:7">
      <c r="A38" s="512" t="s">
        <v>74</v>
      </c>
      <c r="B38" s="542">
        <f>C38+D38</f>
        <v>286.867267</v>
      </c>
      <c r="C38" s="542">
        <f t="shared" ref="C38:G38" si="10">SUM(C39:C41)</f>
        <v>286.867267</v>
      </c>
      <c r="D38" s="542">
        <f t="shared" si="10"/>
        <v>0</v>
      </c>
      <c r="E38" s="542">
        <f>F38+G38</f>
        <v>278.787267</v>
      </c>
      <c r="F38" s="542">
        <f t="shared" si="10"/>
        <v>278.787267</v>
      </c>
      <c r="G38" s="542">
        <f t="shared" si="10"/>
        <v>0</v>
      </c>
    </row>
    <row r="39" s="1" customFormat="1" ht="21.75" customHeight="1" spans="1:7">
      <c r="A39" s="514" t="s">
        <v>75</v>
      </c>
      <c r="B39" s="543"/>
      <c r="C39" s="544">
        <v>186.867267</v>
      </c>
      <c r="D39" s="545"/>
      <c r="E39" s="546"/>
      <c r="F39" s="544">
        <f>SUMIFS('项目支出总表（开）'!V:V,'项目支出总表（开）'!C:C,MID(TRIM(A39),2,7))+SUMIFS('基本支出总表（开）'!M:M,'基本支出总表（开）'!C:C,MID(TRIM(A39),2,7))</f>
        <v>186.867267</v>
      </c>
      <c r="G39" s="547">
        <f>SUMIFS('项目支出总表（铁）'!U:U,'项目支出总表（铁）'!C:C,MID(TRIM(A39),2,7))+SUMIFS('基本支出总表（铁）'!M:M,'基本支出总表（铁）'!C:C,MID(TRIM(A39),2,7))</f>
        <v>0</v>
      </c>
    </row>
    <row r="40" s="1" customFormat="1" ht="21.75" customHeight="1" spans="1:7">
      <c r="A40" s="516" t="s">
        <v>76</v>
      </c>
      <c r="B40" s="548"/>
      <c r="C40" s="544"/>
      <c r="D40" s="545"/>
      <c r="E40" s="549"/>
      <c r="F40" s="544">
        <f>SUMIFS('项目支出总表（开）'!V:V,'项目支出总表（开）'!C:C,MID(TRIM(A40),2,7))+SUMIFS('基本支出总表（开）'!M:M,'基本支出总表（开）'!C:C,MID(TRIM(A40),2,7))</f>
        <v>1.92</v>
      </c>
      <c r="G40" s="547">
        <f>SUMIFS('项目支出总表（铁）'!U:U,'项目支出总表（铁）'!C:C,MID(TRIM(A40),2,7))+SUMIFS('基本支出总表（铁）'!M:M,'基本支出总表（铁）'!C:C,MID(TRIM(A40),2,7))</f>
        <v>0</v>
      </c>
    </row>
    <row r="41" s="1" customFormat="1" ht="21.75" customHeight="1" spans="1:7">
      <c r="A41" s="514" t="s">
        <v>77</v>
      </c>
      <c r="B41" s="543"/>
      <c r="C41" s="544">
        <v>100</v>
      </c>
      <c r="D41" s="545"/>
      <c r="E41" s="546"/>
      <c r="F41" s="544">
        <f>SUMIFS('项目支出总表（开）'!V:V,'项目支出总表（开）'!C:C,MID(TRIM(A41),2,7))+SUMIFS('基本支出总表（开）'!M:M,'基本支出总表（开）'!C:C,MID(TRIM(A41),2,7))</f>
        <v>90</v>
      </c>
      <c r="G41" s="547">
        <f>SUMIFS('项目支出总表（铁）'!U:U,'项目支出总表（铁）'!C:C,MID(TRIM(A41),2,7))+SUMIFS('基本支出总表（铁）'!M:M,'基本支出总表（铁）'!C:C,MID(TRIM(A41),2,7))</f>
        <v>0</v>
      </c>
    </row>
    <row r="42" s="1" customFormat="1" ht="21.75" customHeight="1" spans="1:7">
      <c r="A42" s="512" t="s">
        <v>78</v>
      </c>
      <c r="B42" s="542">
        <f>C42+D42</f>
        <v>1298.934659</v>
      </c>
      <c r="C42" s="542">
        <f t="shared" ref="C42:G42" si="11">SUM(C43:C45)</f>
        <v>1298.934659</v>
      </c>
      <c r="D42" s="542">
        <f t="shared" si="11"/>
        <v>0</v>
      </c>
      <c r="E42" s="542">
        <f>F42+G42</f>
        <v>1144.254659</v>
      </c>
      <c r="F42" s="542">
        <f t="shared" si="11"/>
        <v>1144.254659</v>
      </c>
      <c r="G42" s="542">
        <f t="shared" si="11"/>
        <v>0</v>
      </c>
    </row>
    <row r="43" s="1" customFormat="1" ht="21.75" customHeight="1" spans="1:7">
      <c r="A43" s="514" t="s">
        <v>79</v>
      </c>
      <c r="B43" s="543"/>
      <c r="C43" s="544">
        <v>775.184659</v>
      </c>
      <c r="D43" s="545"/>
      <c r="E43" s="546"/>
      <c r="F43" s="544">
        <f>SUMIFS('项目支出总表（开）'!V:V,'项目支出总表（开）'!C:C,MID(TRIM(A43),2,7))+SUMIFS('基本支出总表（开）'!M:M,'基本支出总表（开）'!C:C,MID(TRIM(A43),2,7))</f>
        <v>775.184659</v>
      </c>
      <c r="G43" s="547">
        <f>SUMIFS('项目支出总表（铁）'!U:U,'项目支出总表（铁）'!C:C,MID(TRIM(A43),2,7))+SUMIFS('基本支出总表（铁）'!M:M,'基本支出总表（铁）'!C:C,MID(TRIM(A43),2,7))</f>
        <v>0</v>
      </c>
    </row>
    <row r="44" s="1" customFormat="1" ht="21.75" customHeight="1" spans="1:7">
      <c r="A44" s="514" t="s">
        <v>80</v>
      </c>
      <c r="B44" s="543"/>
      <c r="C44" s="544">
        <v>523.75</v>
      </c>
      <c r="D44" s="545"/>
      <c r="E44" s="546"/>
      <c r="F44" s="544">
        <f>SUMIFS('项目支出总表（开）'!V:V,'项目支出总表（开）'!C:C,MID(TRIM(A44),2,7))+SUMIFS('基本支出总表（开）'!M:M,'基本支出总表（开）'!C:C,MID(TRIM(A44),2,7))</f>
        <v>349.07</v>
      </c>
      <c r="G44" s="547">
        <f>SUMIFS('项目支出总表（铁）'!U:U,'项目支出总表（铁）'!C:C,MID(TRIM(A44),2,7))+SUMIFS('基本支出总表（铁）'!M:M,'基本支出总表（铁）'!C:C,MID(TRIM(A44),2,7))</f>
        <v>0</v>
      </c>
    </row>
    <row r="45" s="1" customFormat="1" ht="21.75" customHeight="1" spans="1:7">
      <c r="A45" s="516" t="s">
        <v>81</v>
      </c>
      <c r="B45" s="548"/>
      <c r="C45" s="544"/>
      <c r="D45" s="545"/>
      <c r="E45" s="549"/>
      <c r="F45" s="544">
        <f>SUMIFS('项目支出总表（开）'!V:V,'项目支出总表（开）'!C:C,MID(TRIM(A45),2,7))+SUMIFS('基本支出总表（开）'!M:M,'基本支出总表（开）'!C:C,MID(TRIM(A45),2,7))</f>
        <v>20</v>
      </c>
      <c r="G45" s="547">
        <f>SUMIFS('项目支出总表（铁）'!U:U,'项目支出总表（铁）'!C:C,MID(TRIM(A45),2,7))+SUMIFS('基本支出总表（铁）'!M:M,'基本支出总表（铁）'!C:C,MID(TRIM(A45),2,7))</f>
        <v>0</v>
      </c>
    </row>
    <row r="46" s="1" customFormat="1" ht="21.75" customHeight="1" spans="1:7">
      <c r="A46" s="512" t="s">
        <v>82</v>
      </c>
      <c r="B46" s="542">
        <f>C46+D46</f>
        <v>2549.516789</v>
      </c>
      <c r="C46" s="542">
        <f t="shared" ref="C46:G46" si="12">SUM(C47:C49)</f>
        <v>2549.516789</v>
      </c>
      <c r="D46" s="542">
        <f t="shared" si="12"/>
        <v>0</v>
      </c>
      <c r="E46" s="542">
        <f>F46+G46</f>
        <v>2663.407685</v>
      </c>
      <c r="F46" s="542">
        <f t="shared" si="12"/>
        <v>2663.407685</v>
      </c>
      <c r="G46" s="542">
        <f t="shared" si="12"/>
        <v>0</v>
      </c>
    </row>
    <row r="47" s="1" customFormat="1" ht="21.75" customHeight="1" spans="1:7">
      <c r="A47" s="514" t="s">
        <v>83</v>
      </c>
      <c r="B47" s="543"/>
      <c r="C47" s="544">
        <v>1734.116789</v>
      </c>
      <c r="D47" s="545"/>
      <c r="E47" s="546"/>
      <c r="F47" s="544">
        <f>SUMIFS('项目支出总表（开）'!V:V,'项目支出总表（开）'!C:C,MID(TRIM(A47),2,7))+SUMIFS('基本支出总表（开）'!M:M,'基本支出总表（开）'!C:C,MID(TRIM(A47),2,7))</f>
        <v>1734.116789</v>
      </c>
      <c r="G47" s="547">
        <f>SUMIFS('项目支出总表（铁）'!U:U,'项目支出总表（铁）'!C:C,MID(TRIM(A47),2,7))+SUMIFS('基本支出总表（铁）'!M:M,'基本支出总表（铁）'!C:C,MID(TRIM(A47),2,7))</f>
        <v>0</v>
      </c>
    </row>
    <row r="48" s="1" customFormat="1" ht="21.75" customHeight="1" spans="1:7">
      <c r="A48" s="514" t="s">
        <v>84</v>
      </c>
      <c r="B48" s="543"/>
      <c r="C48" s="544">
        <v>36.4</v>
      </c>
      <c r="D48" s="545"/>
      <c r="E48" s="546"/>
      <c r="F48" s="544">
        <f>SUMIFS('项目支出总表（开）'!V:V,'项目支出总表（开）'!C:C,MID(TRIM(A48),2,7))+SUMIFS('基本支出总表（开）'!M:M,'基本支出总表（开）'!C:C,MID(TRIM(A48),2,7))</f>
        <v>44.4</v>
      </c>
      <c r="G48" s="547">
        <f>SUMIFS('项目支出总表（铁）'!U:U,'项目支出总表（铁）'!C:C,MID(TRIM(A48),2,7))+SUMIFS('基本支出总表（铁）'!M:M,'基本支出总表（铁）'!C:C,MID(TRIM(A48),2,7))</f>
        <v>0</v>
      </c>
    </row>
    <row r="49" s="1" customFormat="1" ht="21.75" customHeight="1" spans="1:7">
      <c r="A49" s="514" t="s">
        <v>85</v>
      </c>
      <c r="B49" s="543"/>
      <c r="C49" s="544">
        <v>779</v>
      </c>
      <c r="D49" s="545"/>
      <c r="E49" s="546"/>
      <c r="F49" s="544">
        <f>SUMIFS('项目支出总表（开）'!V:V,'项目支出总表（开）'!C:C,MID(TRIM(A49),2,7))+SUMIFS('基本支出总表（开）'!M:M,'基本支出总表（开）'!C:C,MID(TRIM(A49),2,7))</f>
        <v>884.890896</v>
      </c>
      <c r="G49" s="547">
        <f>SUMIFS('项目支出总表（铁）'!U:U,'项目支出总表（铁）'!C:C,MID(TRIM(A49),2,7))+SUMIFS('基本支出总表（铁）'!M:M,'基本支出总表（铁）'!C:C,MID(TRIM(A49),2,7))</f>
        <v>0</v>
      </c>
    </row>
    <row r="50" s="1" customFormat="1" ht="21.75" customHeight="1" spans="1:7">
      <c r="A50" s="517" t="s">
        <v>86</v>
      </c>
      <c r="B50" s="542">
        <f>C50+D50</f>
        <v>0</v>
      </c>
      <c r="C50" s="542">
        <f t="shared" ref="C50:G50" si="13">SUM(C51:C51)</f>
        <v>0</v>
      </c>
      <c r="D50" s="542">
        <f t="shared" si="13"/>
        <v>0</v>
      </c>
      <c r="E50" s="542">
        <f>F50+G50</f>
        <v>656</v>
      </c>
      <c r="F50" s="542">
        <f t="shared" si="13"/>
        <v>656</v>
      </c>
      <c r="G50" s="542">
        <f t="shared" si="13"/>
        <v>0</v>
      </c>
    </row>
    <row r="51" s="1" customFormat="1" ht="21.75" customHeight="1" spans="1:7">
      <c r="A51" s="516" t="s">
        <v>87</v>
      </c>
      <c r="B51" s="548"/>
      <c r="C51" s="544"/>
      <c r="D51" s="545"/>
      <c r="E51" s="549"/>
      <c r="F51" s="544">
        <f>SUMIFS('项目支出总表（开）'!V:V,'项目支出总表（开）'!C:C,MID(TRIM(A51),2,7))+SUMIFS('基本支出总表（开）'!M:M,'基本支出总表（开）'!C:C,MID(TRIM(A51),2,7))</f>
        <v>656</v>
      </c>
      <c r="G51" s="547">
        <f>SUMIFS('项目支出总表（铁）'!U:U,'项目支出总表（铁）'!C:C,MID(TRIM(A51),2,7))+SUMIFS('基本支出总表（铁）'!M:M,'基本支出总表（铁）'!C:C,MID(TRIM(A51),2,7))</f>
        <v>0</v>
      </c>
    </row>
    <row r="52" s="1" customFormat="1" ht="21.75" customHeight="1" spans="1:7">
      <c r="A52" s="512" t="s">
        <v>88</v>
      </c>
      <c r="B52" s="542">
        <f>C52+D52</f>
        <v>275.110553</v>
      </c>
      <c r="C52" s="542">
        <f t="shared" ref="C52:G52" si="14">SUM(C53:C56)</f>
        <v>275.110553</v>
      </c>
      <c r="D52" s="542">
        <f t="shared" si="14"/>
        <v>0</v>
      </c>
      <c r="E52" s="542">
        <f>F52+G52</f>
        <v>287.110553</v>
      </c>
      <c r="F52" s="542">
        <f t="shared" si="14"/>
        <v>287.110553</v>
      </c>
      <c r="G52" s="542">
        <f t="shared" si="14"/>
        <v>0</v>
      </c>
    </row>
    <row r="53" s="1" customFormat="1" ht="21.75" customHeight="1" spans="1:7">
      <c r="A53" s="514" t="s">
        <v>89</v>
      </c>
      <c r="B53" s="543"/>
      <c r="C53" s="544">
        <v>186.640553</v>
      </c>
      <c r="D53" s="545"/>
      <c r="E53" s="546"/>
      <c r="F53" s="544">
        <f>SUMIFS('项目支出总表（开）'!V:V,'项目支出总表（开）'!C:C,MID(TRIM(A53),2,7))+SUMIFS('基本支出总表（开）'!M:M,'基本支出总表（开）'!C:C,MID(TRIM(A53),2,7))</f>
        <v>186.640553</v>
      </c>
      <c r="G53" s="547">
        <f>SUMIFS('项目支出总表（铁）'!U:U,'项目支出总表（铁）'!C:C,MID(TRIM(A53),2,7))+SUMIFS('基本支出总表（铁）'!M:M,'基本支出总表（铁）'!C:C,MID(TRIM(A53),2,7))</f>
        <v>0</v>
      </c>
    </row>
    <row r="54" s="1" customFormat="1" ht="21.75" customHeight="1" spans="1:7">
      <c r="A54" s="514" t="s">
        <v>90</v>
      </c>
      <c r="B54" s="543"/>
      <c r="C54" s="544">
        <v>19.97</v>
      </c>
      <c r="D54" s="545"/>
      <c r="E54" s="546"/>
      <c r="F54" s="544">
        <f>SUMIFS('项目支出总表（开）'!V:V,'项目支出总表（开）'!C:C,MID(TRIM(A54),2,7))+SUMIFS('基本支出总表（开）'!M:M,'基本支出总表（开）'!C:C,MID(TRIM(A54),2,7))</f>
        <v>29.97</v>
      </c>
      <c r="G54" s="547">
        <f>SUMIFS('项目支出总表（铁）'!U:U,'项目支出总表（铁）'!C:C,MID(TRIM(A54),2,7))+SUMIFS('基本支出总表（铁）'!M:M,'基本支出总表（铁）'!C:C,MID(TRIM(A54),2,7))</f>
        <v>0</v>
      </c>
    </row>
    <row r="55" s="1" customFormat="1" ht="21.75" customHeight="1" spans="1:7">
      <c r="A55" s="514" t="s">
        <v>91</v>
      </c>
      <c r="B55" s="543"/>
      <c r="C55" s="544">
        <v>55</v>
      </c>
      <c r="D55" s="545"/>
      <c r="E55" s="546"/>
      <c r="F55" s="544">
        <f>SUMIFS('项目支出总表（开）'!V:V,'项目支出总表（开）'!C:C,MID(TRIM(A55),2,7))+SUMIFS('基本支出总表（开）'!M:M,'基本支出总表（开）'!C:C,MID(TRIM(A55),2,7))</f>
        <v>57</v>
      </c>
      <c r="G55" s="547">
        <f>SUMIFS('项目支出总表（铁）'!U:U,'项目支出总表（铁）'!C:C,MID(TRIM(A55),2,7))+SUMIFS('基本支出总表（铁）'!M:M,'基本支出总表（铁）'!C:C,MID(TRIM(A55),2,7))</f>
        <v>0</v>
      </c>
    </row>
    <row r="56" s="1" customFormat="1" ht="21.75" customHeight="1" spans="1:7">
      <c r="A56" s="514" t="s">
        <v>92</v>
      </c>
      <c r="B56" s="543"/>
      <c r="C56" s="544">
        <v>13.5</v>
      </c>
      <c r="D56" s="545"/>
      <c r="E56" s="546"/>
      <c r="F56" s="544">
        <f>SUMIFS('项目支出总表（开）'!V:V,'项目支出总表（开）'!C:C,MID(TRIM(A56),2,7))+SUMIFS('基本支出总表（开）'!M:M,'基本支出总表（开）'!C:C,MID(TRIM(A56),2,7))</f>
        <v>13.5</v>
      </c>
      <c r="G56" s="547">
        <f>SUMIFS('项目支出总表（铁）'!U:U,'项目支出总表（铁）'!C:C,MID(TRIM(A56),2,7))+SUMIFS('基本支出总表（铁）'!M:M,'基本支出总表（铁）'!C:C,MID(TRIM(A56),2,7))</f>
        <v>0</v>
      </c>
    </row>
    <row r="57" s="1" customFormat="1" ht="21.75" customHeight="1" spans="1:7">
      <c r="A57" s="512" t="s">
        <v>93</v>
      </c>
      <c r="B57" s="542">
        <f>C57+D57</f>
        <v>845.125936</v>
      </c>
      <c r="C57" s="542">
        <f t="shared" ref="C57:G57" si="15">SUM(C58:C60)</f>
        <v>845.125936</v>
      </c>
      <c r="D57" s="542">
        <f t="shared" si="15"/>
        <v>0</v>
      </c>
      <c r="E57" s="542">
        <f>F57+G57</f>
        <v>922.065936</v>
      </c>
      <c r="F57" s="542">
        <f t="shared" si="15"/>
        <v>922.065936</v>
      </c>
      <c r="G57" s="542">
        <f t="shared" si="15"/>
        <v>0</v>
      </c>
    </row>
    <row r="58" s="1" customFormat="1" ht="21.75" customHeight="1" spans="1:7">
      <c r="A58" s="514" t="s">
        <v>94</v>
      </c>
      <c r="B58" s="543"/>
      <c r="C58" s="544">
        <v>573.945936</v>
      </c>
      <c r="D58" s="545"/>
      <c r="E58" s="546"/>
      <c r="F58" s="544">
        <f>SUMIFS('项目支出总表（开）'!V:V,'项目支出总表（开）'!C:C,MID(TRIM(A58),2,7))+SUMIFS('基本支出总表（开）'!M:M,'基本支出总表（开）'!C:C,MID(TRIM(A58),2,7))</f>
        <v>656.945936</v>
      </c>
      <c r="G58" s="547">
        <f>SUMIFS('项目支出总表（铁）'!U:U,'项目支出总表（铁）'!C:C,MID(TRIM(A58),2,7))+SUMIFS('基本支出总表（铁）'!M:M,'基本支出总表（铁）'!C:C,MID(TRIM(A58),2,7))</f>
        <v>0</v>
      </c>
    </row>
    <row r="59" s="1" customFormat="1" ht="21.75" customHeight="1" spans="1:7">
      <c r="A59" s="514" t="s">
        <v>95</v>
      </c>
      <c r="B59" s="543"/>
      <c r="C59" s="544">
        <v>73.78</v>
      </c>
      <c r="D59" s="545"/>
      <c r="E59" s="546"/>
      <c r="F59" s="544">
        <f>SUMIFS('项目支出总表（开）'!V:V,'项目支出总表（开）'!C:C,MID(TRIM(A59),2,7))+SUMIFS('基本支出总表（开）'!M:M,'基本支出总表（开）'!C:C,MID(TRIM(A59),2,7))</f>
        <v>60.78</v>
      </c>
      <c r="G59" s="547">
        <f>SUMIFS('项目支出总表（铁）'!U:U,'项目支出总表（铁）'!C:C,MID(TRIM(A59),2,7))+SUMIFS('基本支出总表（铁）'!M:M,'基本支出总表（铁）'!C:C,MID(TRIM(A59),2,7))</f>
        <v>0</v>
      </c>
    </row>
    <row r="60" s="1" customFormat="1" ht="21.75" customHeight="1" spans="1:7">
      <c r="A60" s="514" t="s">
        <v>96</v>
      </c>
      <c r="B60" s="543"/>
      <c r="C60" s="544">
        <v>197.4</v>
      </c>
      <c r="D60" s="545"/>
      <c r="E60" s="546"/>
      <c r="F60" s="544">
        <f>SUMIFS('项目支出总表（开）'!V:V,'项目支出总表（开）'!C:C,MID(TRIM(A60),2,7))+SUMIFS('基本支出总表（开）'!M:M,'基本支出总表（开）'!C:C,MID(TRIM(A60),2,7))</f>
        <v>204.34</v>
      </c>
      <c r="G60" s="547">
        <f>SUMIFS('项目支出总表（铁）'!U:U,'项目支出总表（铁）'!C:C,MID(TRIM(A60),2,7))+SUMIFS('基本支出总表（铁）'!M:M,'基本支出总表（铁）'!C:C,MID(TRIM(A60),2,7))</f>
        <v>0</v>
      </c>
    </row>
    <row r="61" s="1" customFormat="1" ht="21.75" customHeight="1" spans="1:7">
      <c r="A61" s="512" t="s">
        <v>97</v>
      </c>
      <c r="B61" s="542">
        <f>C61+D61</f>
        <v>1316.680627</v>
      </c>
      <c r="C61" s="542">
        <f t="shared" ref="C61:G61" si="16">SUM(C62:C63)</f>
        <v>1316.680627</v>
      </c>
      <c r="D61" s="542">
        <f t="shared" si="16"/>
        <v>0</v>
      </c>
      <c r="E61" s="542">
        <f>F61+G61</f>
        <v>1060.263207</v>
      </c>
      <c r="F61" s="542">
        <f t="shared" si="16"/>
        <v>1060.263207</v>
      </c>
      <c r="G61" s="542">
        <f t="shared" si="16"/>
        <v>0</v>
      </c>
    </row>
    <row r="62" s="1" customFormat="1" ht="21.75" customHeight="1" spans="1:7">
      <c r="A62" s="514" t="s">
        <v>98</v>
      </c>
      <c r="B62" s="543"/>
      <c r="C62" s="544">
        <v>261.680627</v>
      </c>
      <c r="D62" s="545"/>
      <c r="E62" s="546"/>
      <c r="F62" s="544">
        <f>SUMIFS('项目支出总表（开）'!V:V,'项目支出总表（开）'!C:C,MID(TRIM(A62),2,7))+SUMIFS('基本支出总表（开）'!M:M,'基本支出总表（开）'!C:C,MID(TRIM(A62),2,7))</f>
        <v>311.680627</v>
      </c>
      <c r="G62" s="547">
        <f>SUMIFS('项目支出总表（铁）'!U:U,'项目支出总表（铁）'!C:C,MID(TRIM(A62),2,7))+SUMIFS('基本支出总表（铁）'!M:M,'基本支出总表（铁）'!C:C,MID(TRIM(A62),2,7))</f>
        <v>0</v>
      </c>
    </row>
    <row r="63" s="1" customFormat="1" ht="21.75" customHeight="1" spans="1:7">
      <c r="A63" s="514" t="s">
        <v>99</v>
      </c>
      <c r="B63" s="543"/>
      <c r="C63" s="544">
        <v>1055</v>
      </c>
      <c r="D63" s="545"/>
      <c r="E63" s="546"/>
      <c r="F63" s="544">
        <f>SUMIFS('项目支出总表（开）'!V:V,'项目支出总表（开）'!C:C,MID(TRIM(A63),2,7))+SUMIFS('基本支出总表（开）'!M:M,'基本支出总表（开）'!C:C,MID(TRIM(A63),2,7))</f>
        <v>748.58258</v>
      </c>
      <c r="G63" s="547">
        <f>SUMIFS('项目支出总表（铁）'!U:U,'项目支出总表（铁）'!C:C,MID(TRIM(A63),2,7))+SUMIFS('基本支出总表（铁）'!M:M,'基本支出总表（铁）'!C:C,MID(TRIM(A63),2,7))</f>
        <v>0</v>
      </c>
    </row>
    <row r="64" s="1" customFormat="1" ht="21.75" customHeight="1" spans="1:7">
      <c r="A64" s="512" t="s">
        <v>100</v>
      </c>
      <c r="B64" s="542">
        <f>C64+D64</f>
        <v>248.630383</v>
      </c>
      <c r="C64" s="542">
        <f t="shared" ref="C64:G64" si="17">SUM(C65:C68)</f>
        <v>248.630383</v>
      </c>
      <c r="D64" s="542">
        <f t="shared" si="17"/>
        <v>0</v>
      </c>
      <c r="E64" s="542">
        <f>F64+G64</f>
        <v>244.232159</v>
      </c>
      <c r="F64" s="542">
        <f t="shared" si="17"/>
        <v>244.232159</v>
      </c>
      <c r="G64" s="542">
        <f t="shared" si="17"/>
        <v>0</v>
      </c>
    </row>
    <row r="65" s="1" customFormat="1" ht="21.75" customHeight="1" spans="1:7">
      <c r="A65" s="514" t="s">
        <v>101</v>
      </c>
      <c r="B65" s="543"/>
      <c r="C65" s="544">
        <v>164.630383</v>
      </c>
      <c r="D65" s="545"/>
      <c r="E65" s="546"/>
      <c r="F65" s="544">
        <f>SUMIFS('项目支出总表（开）'!V:V,'项目支出总表（开）'!C:C,MID(TRIM(A65),2,7))+SUMIFS('基本支出总表（开）'!M:M,'基本支出总表（开）'!C:C,MID(TRIM(A65),2,7))</f>
        <v>164.630383</v>
      </c>
      <c r="G65" s="547">
        <f>SUMIFS('项目支出总表（铁）'!U:U,'项目支出总表（铁）'!C:C,MID(TRIM(A65),2,7))+SUMIFS('基本支出总表（铁）'!M:M,'基本支出总表（铁）'!C:C,MID(TRIM(A65),2,7))</f>
        <v>0</v>
      </c>
    </row>
    <row r="66" s="1" customFormat="1" ht="21.75" customHeight="1" spans="1:7">
      <c r="A66" s="514" t="s">
        <v>102</v>
      </c>
      <c r="B66" s="543"/>
      <c r="C66" s="544">
        <v>40</v>
      </c>
      <c r="D66" s="545"/>
      <c r="E66" s="546"/>
      <c r="F66" s="544">
        <f>SUMIFS('项目支出总表（开）'!V:V,'项目支出总表（开）'!C:C,MID(TRIM(A66),2,7))+SUMIFS('基本支出总表（开）'!M:M,'基本支出总表（开）'!C:C,MID(TRIM(A66),2,7))</f>
        <v>33.12</v>
      </c>
      <c r="G66" s="547">
        <f>SUMIFS('项目支出总表（铁）'!U:U,'项目支出总表（铁）'!C:C,MID(TRIM(A66),2,7))+SUMIFS('基本支出总表（铁）'!M:M,'基本支出总表（铁）'!C:C,MID(TRIM(A66),2,7))</f>
        <v>0</v>
      </c>
    </row>
    <row r="67" s="1" customFormat="1" ht="21.75" customHeight="1" spans="1:7">
      <c r="A67" s="514" t="s">
        <v>103</v>
      </c>
      <c r="B67" s="543"/>
      <c r="C67" s="544">
        <v>24</v>
      </c>
      <c r="D67" s="545"/>
      <c r="E67" s="546"/>
      <c r="F67" s="544">
        <f>SUMIFS('项目支出总表（开）'!V:V,'项目支出总表（开）'!C:C,MID(TRIM(A67),2,7))+SUMIFS('基本支出总表（开）'!M:M,'基本支出总表（开）'!C:C,MID(TRIM(A67),2,7))</f>
        <v>24</v>
      </c>
      <c r="G67" s="547">
        <f>SUMIFS('项目支出总表（铁）'!U:U,'项目支出总表（铁）'!C:C,MID(TRIM(A67),2,7))+SUMIFS('基本支出总表（铁）'!M:M,'基本支出总表（铁）'!C:C,MID(TRIM(A67),2,7))</f>
        <v>0</v>
      </c>
    </row>
    <row r="68" s="1" customFormat="1" ht="21.75" customHeight="1" spans="1:7">
      <c r="A68" s="514" t="s">
        <v>104</v>
      </c>
      <c r="B68" s="543"/>
      <c r="C68" s="544">
        <v>20</v>
      </c>
      <c r="D68" s="545"/>
      <c r="E68" s="546"/>
      <c r="F68" s="544">
        <f>SUMIFS('项目支出总表（开）'!V:V,'项目支出总表（开）'!C:C,MID(TRIM(A68),2,7))+SUMIFS('基本支出总表（开）'!M:M,'基本支出总表（开）'!C:C,MID(TRIM(A68),2,7))</f>
        <v>22.481776</v>
      </c>
      <c r="G68" s="547">
        <f>SUMIFS('项目支出总表（铁）'!U:U,'项目支出总表（铁）'!C:C,MID(TRIM(A68),2,7))+SUMIFS('基本支出总表（铁）'!M:M,'基本支出总表（铁）'!C:C,MID(TRIM(A68),2,7))</f>
        <v>0</v>
      </c>
    </row>
    <row r="69" s="1" customFormat="1" ht="21.75" customHeight="1" spans="1:7">
      <c r="A69" s="512" t="s">
        <v>105</v>
      </c>
      <c r="B69" s="542">
        <f>C69+D69</f>
        <v>1866.46674</v>
      </c>
      <c r="C69" s="542">
        <f t="shared" ref="C69:G69" si="18">SUM(C70:C72)</f>
        <v>1866.46674</v>
      </c>
      <c r="D69" s="542">
        <f t="shared" si="18"/>
        <v>0</v>
      </c>
      <c r="E69" s="542">
        <f>F69+G69</f>
        <v>1632.30674</v>
      </c>
      <c r="F69" s="542">
        <f t="shared" si="18"/>
        <v>1632.30674</v>
      </c>
      <c r="G69" s="542">
        <f t="shared" si="18"/>
        <v>0</v>
      </c>
    </row>
    <row r="70" s="1" customFormat="1" ht="21.75" customHeight="1" spans="1:7">
      <c r="A70" s="514" t="s">
        <v>106</v>
      </c>
      <c r="B70" s="543"/>
      <c r="C70" s="544">
        <v>499.43674</v>
      </c>
      <c r="D70" s="545"/>
      <c r="E70" s="546"/>
      <c r="F70" s="544">
        <f>SUMIFS('项目支出总表（开）'!V:V,'项目支出总表（开）'!C:C,MID(TRIM(A70),2,7))+SUMIFS('基本支出总表（开）'!M:M,'基本支出总表（开）'!C:C,MID(TRIM(A70),2,7))</f>
        <v>499.43674</v>
      </c>
      <c r="G70" s="547">
        <f>SUMIFS('项目支出总表（铁）'!U:U,'项目支出总表（铁）'!C:C,MID(TRIM(A70),2,7))+SUMIFS('基本支出总表（铁）'!M:M,'基本支出总表（铁）'!C:C,MID(TRIM(A70),2,7))</f>
        <v>0</v>
      </c>
    </row>
    <row r="71" s="1" customFormat="1" ht="21.75" customHeight="1" spans="1:7">
      <c r="A71" s="516" t="s">
        <v>107</v>
      </c>
      <c r="B71" s="548"/>
      <c r="C71" s="544">
        <v>900</v>
      </c>
      <c r="D71" s="545"/>
      <c r="E71" s="549"/>
      <c r="F71" s="544">
        <f>SUMIFS('项目支出总表（开）'!V:V,'项目支出总表（开）'!C:C,MID(TRIM(A71),2,7))+SUMIFS('基本支出总表（开）'!M:M,'基本支出总表（开）'!C:C,MID(TRIM(A71),2,7))</f>
        <v>853.52</v>
      </c>
      <c r="G71" s="547">
        <f>SUMIFS('项目支出总表（铁）'!U:U,'项目支出总表（铁）'!C:C,MID(TRIM(A71),2,7))+SUMIFS('基本支出总表（铁）'!M:M,'基本支出总表（铁）'!C:C,MID(TRIM(A71),2,7))</f>
        <v>0</v>
      </c>
    </row>
    <row r="72" s="1" customFormat="1" ht="21.75" customHeight="1" spans="1:7">
      <c r="A72" s="514" t="s">
        <v>108</v>
      </c>
      <c r="B72" s="543"/>
      <c r="C72" s="544">
        <v>467.03</v>
      </c>
      <c r="D72" s="545"/>
      <c r="E72" s="546"/>
      <c r="F72" s="544">
        <f>SUMIFS('项目支出总表（开）'!V:V,'项目支出总表（开）'!C:C,MID(TRIM(A72),2,7))+SUMIFS('基本支出总表（开）'!M:M,'基本支出总表（开）'!C:C,MID(TRIM(A72),2,7))</f>
        <v>279.35</v>
      </c>
      <c r="G72" s="547">
        <f>SUMIFS('项目支出总表（铁）'!U:U,'项目支出总表（铁）'!C:C,MID(TRIM(A72),2,7))+SUMIFS('基本支出总表（铁）'!M:M,'基本支出总表（铁）'!C:C,MID(TRIM(A72),2,7))</f>
        <v>0</v>
      </c>
    </row>
    <row r="73" s="1" customFormat="1" ht="21.75" customHeight="1" spans="1:7">
      <c r="A73" s="512" t="s">
        <v>109</v>
      </c>
      <c r="B73" s="542">
        <f>C73+D73</f>
        <v>454.037737</v>
      </c>
      <c r="C73" s="542">
        <f t="shared" ref="C73:G73" si="19">SUM(C74:C75)</f>
        <v>454.037737</v>
      </c>
      <c r="D73" s="542">
        <f t="shared" si="19"/>
        <v>0</v>
      </c>
      <c r="E73" s="542">
        <f>F73+G73</f>
        <v>476.717737</v>
      </c>
      <c r="F73" s="542">
        <f t="shared" si="19"/>
        <v>476.717737</v>
      </c>
      <c r="G73" s="542">
        <f t="shared" si="19"/>
        <v>0</v>
      </c>
    </row>
    <row r="74" s="1" customFormat="1" ht="21.75" customHeight="1" spans="1:7">
      <c r="A74" s="514" t="s">
        <v>110</v>
      </c>
      <c r="B74" s="543"/>
      <c r="C74" s="544">
        <v>212.237737</v>
      </c>
      <c r="D74" s="545"/>
      <c r="E74" s="546"/>
      <c r="F74" s="544">
        <f>SUMIFS('项目支出总表（开）'!V:V,'项目支出总表（开）'!C:C,MID(TRIM(A74),2,7))+SUMIFS('基本支出总表（开）'!M:M,'基本支出总表（开）'!C:C,MID(TRIM(A74),2,7))</f>
        <v>237.237737</v>
      </c>
      <c r="G74" s="547">
        <f>SUMIFS('项目支出总表（铁）'!U:U,'项目支出总表（铁）'!C:C,MID(TRIM(A74),2,7))+SUMIFS('基本支出总表（铁）'!M:M,'基本支出总表（铁）'!C:C,MID(TRIM(A74),2,7))</f>
        <v>0</v>
      </c>
    </row>
    <row r="75" s="1" customFormat="1" ht="21.75" customHeight="1" spans="1:7">
      <c r="A75" s="514" t="s">
        <v>111</v>
      </c>
      <c r="B75" s="543"/>
      <c r="C75" s="544">
        <v>241.8</v>
      </c>
      <c r="D75" s="545"/>
      <c r="E75" s="546"/>
      <c r="F75" s="544">
        <f>SUMIFS('项目支出总表（开）'!V:V,'项目支出总表（开）'!C:C,MID(TRIM(A75),2,7))+SUMIFS('基本支出总表（开）'!M:M,'基本支出总表（开）'!C:C,MID(TRIM(A75),2,7))</f>
        <v>239.48</v>
      </c>
      <c r="G75" s="547">
        <f>SUMIFS('项目支出总表（铁）'!U:U,'项目支出总表（铁）'!C:C,MID(TRIM(A75),2,7))+SUMIFS('基本支出总表（铁）'!M:M,'基本支出总表（铁）'!C:C,MID(TRIM(A75),2,7))</f>
        <v>0</v>
      </c>
    </row>
    <row r="76" s="1" customFormat="1" ht="21.75" customHeight="1" spans="1:7">
      <c r="A76" s="512" t="s">
        <v>112</v>
      </c>
      <c r="B76" s="542">
        <f>C76+D76</f>
        <v>948.282356</v>
      </c>
      <c r="C76" s="542">
        <f t="shared" ref="C76:G76" si="20">SUM(C77:C81)</f>
        <v>948.282356</v>
      </c>
      <c r="D76" s="542">
        <f t="shared" si="20"/>
        <v>0</v>
      </c>
      <c r="E76" s="542">
        <f>F76+G76</f>
        <v>1054.389196</v>
      </c>
      <c r="F76" s="542">
        <f t="shared" si="20"/>
        <v>1054.389196</v>
      </c>
      <c r="G76" s="542">
        <f t="shared" si="20"/>
        <v>0</v>
      </c>
    </row>
    <row r="77" s="1" customFormat="1" ht="21.75" customHeight="1" spans="1:7">
      <c r="A77" s="514" t="s">
        <v>113</v>
      </c>
      <c r="B77" s="543"/>
      <c r="C77" s="544">
        <v>870.892356</v>
      </c>
      <c r="D77" s="545"/>
      <c r="E77" s="546"/>
      <c r="F77" s="544">
        <f>SUMIFS('项目支出总表（开）'!V:V,'项目支出总表（开）'!C:C,MID(TRIM(A77),2,7))+SUMIFS('基本支出总表（开）'!M:M,'基本支出总表（开）'!C:C,MID(TRIM(A77),2,7))</f>
        <v>870.892356</v>
      </c>
      <c r="G77" s="547">
        <f>SUMIFS('项目支出总表（铁）'!U:U,'项目支出总表（铁）'!C:C,MID(TRIM(A77),2,7))+SUMIFS('基本支出总表（铁）'!M:M,'基本支出总表（铁）'!C:C,MID(TRIM(A77),2,7))</f>
        <v>0</v>
      </c>
    </row>
    <row r="78" s="1" customFormat="1" ht="21.75" customHeight="1" spans="1:7">
      <c r="A78" s="514" t="s">
        <v>114</v>
      </c>
      <c r="B78" s="543"/>
      <c r="C78" s="544">
        <v>62.39</v>
      </c>
      <c r="D78" s="545"/>
      <c r="E78" s="546"/>
      <c r="F78" s="544">
        <f>SUMIFS('项目支出总表（开）'!V:V,'项目支出总表（开）'!C:C,MID(TRIM(A78),2,7))+SUMIFS('基本支出总表（开）'!M:M,'基本支出总表（开）'!C:C,MID(TRIM(A78),2,7))</f>
        <v>147.65</v>
      </c>
      <c r="G78" s="547">
        <f>SUMIFS('项目支出总表（铁）'!U:U,'项目支出总表（铁）'!C:C,MID(TRIM(A78),2,7))+SUMIFS('基本支出总表（铁）'!M:M,'基本支出总表（铁）'!C:C,MID(TRIM(A78),2,7))</f>
        <v>0</v>
      </c>
    </row>
    <row r="79" s="1" customFormat="1" ht="21.75" customHeight="1" spans="1:7">
      <c r="A79" s="516" t="s">
        <v>115</v>
      </c>
      <c r="B79" s="548"/>
      <c r="C79" s="544"/>
      <c r="D79" s="545"/>
      <c r="E79" s="549"/>
      <c r="F79" s="544">
        <f>SUMIFS('项目支出总表（开）'!V:V,'项目支出总表（开）'!C:C,MID(TRIM(A79),2,7))+SUMIFS('基本支出总表（开）'!M:M,'基本支出总表（开）'!C:C,MID(TRIM(A79),2,7))</f>
        <v>6.84684</v>
      </c>
      <c r="G79" s="547">
        <f>SUMIFS('项目支出总表（铁）'!U:U,'项目支出总表（铁）'!C:C,MID(TRIM(A79),2,7))+SUMIFS('基本支出总表（铁）'!M:M,'基本支出总表（铁）'!C:C,MID(TRIM(A79),2,7))</f>
        <v>0</v>
      </c>
    </row>
    <row r="80" s="1" customFormat="1" ht="21.75" customHeight="1" spans="1:7">
      <c r="A80" s="514" t="s">
        <v>116</v>
      </c>
      <c r="B80" s="543"/>
      <c r="C80" s="544">
        <v>15</v>
      </c>
      <c r="D80" s="545"/>
      <c r="E80" s="546"/>
      <c r="F80" s="544">
        <f>SUMIFS('项目支出总表（开）'!V:V,'项目支出总表（开）'!C:C,MID(TRIM(A80),2,7))+SUMIFS('基本支出总表（开）'!M:M,'基本支出总表（开）'!C:C,MID(TRIM(A80),2,7))</f>
        <v>25</v>
      </c>
      <c r="G80" s="547">
        <f>SUMIFS('项目支出总表（铁）'!U:U,'项目支出总表（铁）'!C:C,MID(TRIM(A80),2,7))+SUMIFS('基本支出总表（铁）'!M:M,'基本支出总表（铁）'!C:C,MID(TRIM(A80),2,7))</f>
        <v>0</v>
      </c>
    </row>
    <row r="81" s="1" customFormat="1" ht="21.75" customHeight="1" spans="1:7">
      <c r="A81" s="516" t="s">
        <v>117</v>
      </c>
      <c r="B81" s="548"/>
      <c r="C81" s="544"/>
      <c r="D81" s="545"/>
      <c r="E81" s="549"/>
      <c r="F81" s="544">
        <f>SUMIFS('项目支出总表（开）'!V:V,'项目支出总表（开）'!C:C,MID(TRIM(A81),2,7))+SUMIFS('基本支出总表（开）'!M:M,'基本支出总表（开）'!C:C,MID(TRIM(A81),2,7))</f>
        <v>4</v>
      </c>
      <c r="G81" s="547">
        <f>SUMIFS('项目支出总表（铁）'!U:U,'项目支出总表（铁）'!C:C,MID(TRIM(A81),2,7))+SUMIFS('基本支出总表（铁）'!M:M,'基本支出总表（铁）'!C:C,MID(TRIM(A81),2,7))</f>
        <v>0</v>
      </c>
    </row>
    <row r="82" s="1" customFormat="1" ht="21.75" customHeight="1" spans="1:7">
      <c r="A82" s="518" t="s">
        <v>118</v>
      </c>
      <c r="B82" s="540">
        <f t="shared" ref="B82:B86" si="21">C82+D82</f>
        <v>0</v>
      </c>
      <c r="C82" s="541">
        <f t="shared" ref="C82:G82" si="22">C83</f>
        <v>0</v>
      </c>
      <c r="D82" s="541">
        <f t="shared" si="22"/>
        <v>0</v>
      </c>
      <c r="E82" s="541">
        <f t="shared" ref="E82:E86" si="23">F82+G82</f>
        <v>3</v>
      </c>
      <c r="F82" s="541">
        <f t="shared" si="22"/>
        <v>3</v>
      </c>
      <c r="G82" s="541">
        <f t="shared" si="22"/>
        <v>0</v>
      </c>
    </row>
    <row r="83" s="1" customFormat="1" ht="21.75" customHeight="1" spans="1:7">
      <c r="A83" s="517" t="s">
        <v>119</v>
      </c>
      <c r="B83" s="542">
        <f t="shared" si="21"/>
        <v>0</v>
      </c>
      <c r="C83" s="542">
        <f t="shared" ref="C83:G83" si="24">SUM(C84)</f>
        <v>0</v>
      </c>
      <c r="D83" s="542">
        <f t="shared" si="24"/>
        <v>0</v>
      </c>
      <c r="E83" s="542">
        <f t="shared" si="23"/>
        <v>3</v>
      </c>
      <c r="F83" s="542">
        <f t="shared" si="24"/>
        <v>3</v>
      </c>
      <c r="G83" s="542">
        <f t="shared" si="24"/>
        <v>0</v>
      </c>
    </row>
    <row r="84" s="1" customFormat="1" ht="21.75" customHeight="1" spans="1:7">
      <c r="A84" s="516" t="s">
        <v>120</v>
      </c>
      <c r="B84" s="548"/>
      <c r="C84" s="544"/>
      <c r="D84" s="545"/>
      <c r="E84" s="549"/>
      <c r="F84" s="544">
        <f>SUMIFS('项目支出总表（开）'!V:V,'项目支出总表（开）'!C:C,MID(TRIM(A84),2,7))+SUMIFS('基本支出总表（开）'!M:M,'基本支出总表（开）'!C:C,MID(TRIM(A84),2,7))</f>
        <v>3</v>
      </c>
      <c r="G84" s="547">
        <f>SUMIFS('项目支出总表（铁）'!U:U,'项目支出总表（铁）'!C:C,MID(TRIM(A84),2,7))+SUMIFS('基本支出总表（铁）'!M:M,'基本支出总表（铁）'!C:C,MID(TRIM(A84),2,7))</f>
        <v>0</v>
      </c>
    </row>
    <row r="85" s="1" customFormat="1" ht="21.75" customHeight="1" spans="1:7">
      <c r="A85" s="510" t="s">
        <v>121</v>
      </c>
      <c r="B85" s="540">
        <f t="shared" si="21"/>
        <v>1927.132844</v>
      </c>
      <c r="C85" s="541">
        <f t="shared" ref="C85:G85" si="25">C86+C88+C90+C92</f>
        <v>1927.132844</v>
      </c>
      <c r="D85" s="541">
        <f t="shared" si="25"/>
        <v>0</v>
      </c>
      <c r="E85" s="541">
        <f t="shared" si="23"/>
        <v>2072.632844</v>
      </c>
      <c r="F85" s="541">
        <f t="shared" si="25"/>
        <v>2072.632844</v>
      </c>
      <c r="G85" s="541">
        <f t="shared" si="25"/>
        <v>0</v>
      </c>
    </row>
    <row r="86" s="1" customFormat="1" ht="21.75" customHeight="1" spans="1:7">
      <c r="A86" s="512" t="s">
        <v>122</v>
      </c>
      <c r="B86" s="542">
        <f t="shared" si="21"/>
        <v>1285.5</v>
      </c>
      <c r="C86" s="542">
        <f t="shared" ref="C86:G86" si="26">SUM(C87)</f>
        <v>1285.5</v>
      </c>
      <c r="D86" s="542">
        <f t="shared" si="26"/>
        <v>0</v>
      </c>
      <c r="E86" s="542">
        <f t="shared" si="23"/>
        <v>1310.5</v>
      </c>
      <c r="F86" s="542">
        <f t="shared" si="26"/>
        <v>1310.5</v>
      </c>
      <c r="G86" s="542">
        <f t="shared" si="26"/>
        <v>0</v>
      </c>
    </row>
    <row r="87" s="1" customFormat="1" ht="21.75" customHeight="1" spans="1:7">
      <c r="A87" s="514" t="s">
        <v>123</v>
      </c>
      <c r="B87" s="543"/>
      <c r="C87" s="544">
        <v>1285.5</v>
      </c>
      <c r="D87" s="545"/>
      <c r="E87" s="546"/>
      <c r="F87" s="544">
        <f>SUMIFS('项目支出总表（开）'!V:V,'项目支出总表（开）'!C:C,MID(TRIM(A87),2,7))+SUMIFS('基本支出总表（开）'!M:M,'基本支出总表（开）'!C:C,MID(TRIM(A87),2,7))</f>
        <v>1310.5</v>
      </c>
      <c r="G87" s="547">
        <f>SUMIFS('项目支出总表（铁）'!U:U,'项目支出总表（铁）'!C:C,MID(TRIM(A87),2,7))+SUMIFS('基本支出总表（铁）'!M:M,'基本支出总表（铁）'!C:C,MID(TRIM(A87),2,7))</f>
        <v>0</v>
      </c>
    </row>
    <row r="88" s="1" customFormat="1" ht="21.75" customHeight="1" spans="1:7">
      <c r="A88" s="512" t="s">
        <v>124</v>
      </c>
      <c r="B88" s="542">
        <f t="shared" ref="B88:B92" si="27">C88+D88</f>
        <v>80</v>
      </c>
      <c r="C88" s="542">
        <f t="shared" ref="C88:G88" si="28">SUM(C89)</f>
        <v>80</v>
      </c>
      <c r="D88" s="542">
        <f t="shared" si="28"/>
        <v>0</v>
      </c>
      <c r="E88" s="542">
        <f t="shared" ref="E88:E92" si="29">F88+G88</f>
        <v>80</v>
      </c>
      <c r="F88" s="542">
        <f t="shared" si="28"/>
        <v>80</v>
      </c>
      <c r="G88" s="542">
        <f t="shared" si="28"/>
        <v>0</v>
      </c>
    </row>
    <row r="89" s="1" customFormat="1" ht="21.75" customHeight="1" spans="1:7">
      <c r="A89" s="514" t="s">
        <v>125</v>
      </c>
      <c r="B89" s="543"/>
      <c r="C89" s="544">
        <v>80</v>
      </c>
      <c r="D89" s="545"/>
      <c r="E89" s="546"/>
      <c r="F89" s="544">
        <f>SUMIFS('项目支出总表（开）'!V:V,'项目支出总表（开）'!C:C,MID(TRIM(A89),2,7))+SUMIFS('基本支出总表（开）'!M:M,'基本支出总表（开）'!C:C,MID(TRIM(A89),2,7))</f>
        <v>80</v>
      </c>
      <c r="G89" s="547">
        <f>SUMIFS('项目支出总表（铁）'!U:U,'项目支出总表（铁）'!C:C,MID(TRIM(A89),2,7))+SUMIFS('基本支出总表（铁）'!M:M,'基本支出总表（铁）'!C:C,MID(TRIM(A89),2,7))</f>
        <v>0</v>
      </c>
    </row>
    <row r="90" s="1" customFormat="1" ht="21.75" customHeight="1" spans="1:7">
      <c r="A90" s="512" t="s">
        <v>126</v>
      </c>
      <c r="B90" s="542">
        <f t="shared" si="27"/>
        <v>115</v>
      </c>
      <c r="C90" s="542">
        <f t="shared" ref="C90:G90" si="30">SUM(C91)</f>
        <v>115</v>
      </c>
      <c r="D90" s="542">
        <f t="shared" si="30"/>
        <v>0</v>
      </c>
      <c r="E90" s="542">
        <f t="shared" si="29"/>
        <v>115</v>
      </c>
      <c r="F90" s="542">
        <f t="shared" si="30"/>
        <v>115</v>
      </c>
      <c r="G90" s="542">
        <f t="shared" si="30"/>
        <v>0</v>
      </c>
    </row>
    <row r="91" s="1" customFormat="1" ht="21.75" customHeight="1" spans="1:7">
      <c r="A91" s="514" t="s">
        <v>127</v>
      </c>
      <c r="B91" s="543"/>
      <c r="C91" s="544">
        <v>115</v>
      </c>
      <c r="D91" s="545"/>
      <c r="E91" s="546"/>
      <c r="F91" s="544">
        <f>SUMIFS('项目支出总表（开）'!V:V,'项目支出总表（开）'!C:C,MID(TRIM(A91),2,7))+SUMIFS('基本支出总表（开）'!M:M,'基本支出总表（开）'!C:C,MID(TRIM(A91),2,7))</f>
        <v>115</v>
      </c>
      <c r="G91" s="547">
        <f>SUMIFS('项目支出总表（铁）'!U:U,'项目支出总表（铁）'!C:C,MID(TRIM(A91),2,7))+SUMIFS('基本支出总表（铁）'!M:M,'基本支出总表（铁）'!C:C,MID(TRIM(A91),2,7))</f>
        <v>0</v>
      </c>
    </row>
    <row r="92" s="1" customFormat="1" ht="21.75" customHeight="1" spans="1:7">
      <c r="A92" s="512" t="s">
        <v>128</v>
      </c>
      <c r="B92" s="542">
        <f t="shared" si="27"/>
        <v>446.632844</v>
      </c>
      <c r="C92" s="542">
        <f t="shared" ref="C92:G92" si="31">SUM(C93:C95)</f>
        <v>446.632844</v>
      </c>
      <c r="D92" s="542">
        <f t="shared" si="31"/>
        <v>0</v>
      </c>
      <c r="E92" s="542">
        <f t="shared" si="29"/>
        <v>567.132844</v>
      </c>
      <c r="F92" s="542">
        <f t="shared" si="31"/>
        <v>567.132844</v>
      </c>
      <c r="G92" s="542">
        <f t="shared" si="31"/>
        <v>0</v>
      </c>
    </row>
    <row r="93" s="1" customFormat="1" ht="21.75" customHeight="1" spans="1:7">
      <c r="A93" s="514" t="s">
        <v>129</v>
      </c>
      <c r="B93" s="543"/>
      <c r="C93" s="544">
        <v>343.632844</v>
      </c>
      <c r="D93" s="545"/>
      <c r="E93" s="546"/>
      <c r="F93" s="544">
        <f>SUMIFS('项目支出总表（开）'!V:V,'项目支出总表（开）'!C:C,MID(TRIM(A93),2,7))+SUMIFS('基本支出总表（开）'!M:M,'基本支出总表（开）'!C:C,MID(TRIM(A93),2,7))</f>
        <v>343.632844</v>
      </c>
      <c r="G93" s="547">
        <f>SUMIFS('项目支出总表（铁）'!U:U,'项目支出总表（铁）'!C:C,MID(TRIM(A93),2,7))+SUMIFS('基本支出总表（铁）'!M:M,'基本支出总表（铁）'!C:C,MID(TRIM(A93),2,7))</f>
        <v>0</v>
      </c>
    </row>
    <row r="94" s="1" customFormat="1" ht="21.75" customHeight="1" spans="1:7">
      <c r="A94" s="516" t="s">
        <v>130</v>
      </c>
      <c r="B94" s="548"/>
      <c r="C94" s="544"/>
      <c r="D94" s="545"/>
      <c r="E94" s="549"/>
      <c r="F94" s="544">
        <f>SUMIFS('项目支出总表（开）'!V:V,'项目支出总表（开）'!C:C,MID(TRIM(A94),2,7))+SUMIFS('基本支出总表（开）'!M:M,'基本支出总表（开）'!C:C,MID(TRIM(A94),2,7))</f>
        <v>33</v>
      </c>
      <c r="G94" s="547">
        <f>SUMIFS('项目支出总表（铁）'!U:U,'项目支出总表（铁）'!C:C,MID(TRIM(A94),2,7))+SUMIFS('基本支出总表（铁）'!M:M,'基本支出总表（铁）'!C:C,MID(TRIM(A94),2,7))</f>
        <v>0</v>
      </c>
    </row>
    <row r="95" s="1" customFormat="1" ht="21.75" customHeight="1" spans="1:7">
      <c r="A95" s="514" t="s">
        <v>131</v>
      </c>
      <c r="B95" s="543"/>
      <c r="C95" s="544">
        <v>103</v>
      </c>
      <c r="D95" s="545"/>
      <c r="E95" s="546"/>
      <c r="F95" s="544">
        <f>SUMIFS('项目支出总表（开）'!V:V,'项目支出总表（开）'!C:C,MID(TRIM(A95),2,7))+SUMIFS('基本支出总表（开）'!M:M,'基本支出总表（开）'!C:C,MID(TRIM(A95),2,7))</f>
        <v>190.5</v>
      </c>
      <c r="G95" s="547">
        <f>SUMIFS('项目支出总表（铁）'!U:U,'项目支出总表（铁）'!C:C,MID(TRIM(A95),2,7))+SUMIFS('基本支出总表（铁）'!M:M,'基本支出总表（铁）'!C:C,MID(TRIM(A95),2,7))</f>
        <v>0</v>
      </c>
    </row>
    <row r="96" s="1" customFormat="1" ht="21.75" customHeight="1" spans="1:7">
      <c r="A96" s="510" t="s">
        <v>132</v>
      </c>
      <c r="B96" s="540">
        <f t="shared" ref="B96:B100" si="32">C96+D96</f>
        <v>41475.945327</v>
      </c>
      <c r="C96" s="541">
        <f t="shared" ref="C96:G96" si="33">C97+C100+C104</f>
        <v>33566.001674</v>
      </c>
      <c r="D96" s="541">
        <f t="shared" si="33"/>
        <v>7909.943653</v>
      </c>
      <c r="E96" s="541">
        <f t="shared" ref="E96:E100" si="34">F96+G96</f>
        <v>41333.52751</v>
      </c>
      <c r="F96" s="541">
        <f t="shared" si="33"/>
        <v>33068.123857</v>
      </c>
      <c r="G96" s="541">
        <f t="shared" si="33"/>
        <v>8265.403653</v>
      </c>
    </row>
    <row r="97" s="1" customFormat="1" ht="21.75" customHeight="1" spans="1:7">
      <c r="A97" s="512" t="s">
        <v>133</v>
      </c>
      <c r="B97" s="542">
        <f t="shared" si="32"/>
        <v>503.189188</v>
      </c>
      <c r="C97" s="542">
        <f t="shared" ref="C97:G97" si="35">SUM(C98:C99)</f>
        <v>503.189188</v>
      </c>
      <c r="D97" s="542">
        <f t="shared" si="35"/>
        <v>0</v>
      </c>
      <c r="E97" s="542">
        <f t="shared" si="34"/>
        <v>518.289188</v>
      </c>
      <c r="F97" s="542">
        <f t="shared" si="35"/>
        <v>518.289188</v>
      </c>
      <c r="G97" s="542">
        <f t="shared" si="35"/>
        <v>0</v>
      </c>
    </row>
    <row r="98" s="1" customFormat="1" ht="21.75" customHeight="1" spans="1:7">
      <c r="A98" s="514" t="s">
        <v>134</v>
      </c>
      <c r="B98" s="543"/>
      <c r="C98" s="544">
        <v>348.189188</v>
      </c>
      <c r="D98" s="545"/>
      <c r="E98" s="546"/>
      <c r="F98" s="544">
        <f>SUMIFS('项目支出总表（开）'!V:V,'项目支出总表（开）'!C:C,MID(TRIM(A98),2,7))+SUMIFS('基本支出总表（开）'!M:M,'基本支出总表（开）'!C:C,MID(TRIM(A98),2,7))</f>
        <v>348.189188</v>
      </c>
      <c r="G98" s="547">
        <f>SUMIFS('项目支出总表（铁）'!U:U,'项目支出总表（铁）'!C:C,MID(TRIM(A98),2,7))+SUMIFS('基本支出总表（铁）'!M:M,'基本支出总表（铁）'!C:C,MID(TRIM(A98),2,7))</f>
        <v>0</v>
      </c>
    </row>
    <row r="99" s="1" customFormat="1" ht="21.75" customHeight="1" spans="1:7">
      <c r="A99" s="514" t="s">
        <v>135</v>
      </c>
      <c r="B99" s="543"/>
      <c r="C99" s="544">
        <v>155</v>
      </c>
      <c r="D99" s="545"/>
      <c r="E99" s="546"/>
      <c r="F99" s="544">
        <f>SUMIFS('项目支出总表（开）'!V:V,'项目支出总表（开）'!C:C,MID(TRIM(A99),2,7))+SUMIFS('基本支出总表（开）'!M:M,'基本支出总表（开）'!C:C,MID(TRIM(A99),2,7))</f>
        <v>170.1</v>
      </c>
      <c r="G99" s="547">
        <f>SUMIFS('项目支出总表（铁）'!U:U,'项目支出总表（铁）'!C:C,MID(TRIM(A99),2,7))+SUMIFS('基本支出总表（铁）'!M:M,'基本支出总表（铁）'!C:C,MID(TRIM(A99),2,7))</f>
        <v>0</v>
      </c>
    </row>
    <row r="100" s="1" customFormat="1" ht="21.75" customHeight="1" spans="1:7">
      <c r="A100" s="512" t="s">
        <v>136</v>
      </c>
      <c r="B100" s="542">
        <f t="shared" si="32"/>
        <v>40672.756139</v>
      </c>
      <c r="C100" s="542">
        <f t="shared" ref="C100:G100" si="36">SUM(C101:C103)</f>
        <v>33062.812486</v>
      </c>
      <c r="D100" s="542">
        <f t="shared" si="36"/>
        <v>7609.943653</v>
      </c>
      <c r="E100" s="542">
        <f t="shared" si="34"/>
        <v>40515.238322</v>
      </c>
      <c r="F100" s="542">
        <f>SUM(F101:F103)</f>
        <v>32549.834669</v>
      </c>
      <c r="G100" s="542">
        <f>SUM(G101:G103)</f>
        <v>7965.403653</v>
      </c>
    </row>
    <row r="101" s="1" customFormat="1" ht="21.75" customHeight="1" spans="1:7">
      <c r="A101" s="514" t="s">
        <v>137</v>
      </c>
      <c r="B101" s="543"/>
      <c r="C101" s="544">
        <v>2391.15</v>
      </c>
      <c r="D101" s="545">
        <v>117.1</v>
      </c>
      <c r="E101" s="546"/>
      <c r="F101" s="544">
        <f>SUMIFS('项目支出总表（开）'!V:V,'项目支出总表（开）'!C:C,MID(TRIM(A101),2,7))+SUMIFS('基本支出总表（开）'!M:M,'基本支出总表（开）'!C:C,MID(TRIM(A101),2,7))</f>
        <v>1619.8</v>
      </c>
      <c r="G101" s="547">
        <f>SUMIFS('项目支出总表（铁）'!U:U,'项目支出总表（铁）'!C:C,MID(TRIM(A101),2,7))+SUMIFS('基本支出总表（铁）'!M:M,'基本支出总表（铁）'!C:C,MID(TRIM(A101),2,7))</f>
        <v>120.72</v>
      </c>
    </row>
    <row r="102" s="1" customFormat="1" ht="21.75" customHeight="1" spans="1:7">
      <c r="A102" s="514" t="s">
        <v>138</v>
      </c>
      <c r="B102" s="543"/>
      <c r="C102" s="544">
        <v>19931.09725</v>
      </c>
      <c r="D102" s="545">
        <v>4608.767634</v>
      </c>
      <c r="E102" s="546"/>
      <c r="F102" s="544">
        <f>SUMIFS('项目支出总表（开）'!V:V,'项目支出总表（开）'!C:C,MID(TRIM(A102),2,7))+SUMIFS('基本支出总表（开）'!M:M,'基本支出总表（开）'!C:C,MID(TRIM(A102),2,7))</f>
        <v>18721.824524</v>
      </c>
      <c r="G102" s="547">
        <f>SUMIFS('项目支出总表（铁）'!U:U,'项目支出总表（铁）'!C:C,MID(TRIM(A102),2,7))+SUMIFS('基本支出总表（铁）'!M:M,'基本支出总表（铁）'!C:C,MID(TRIM(A102),2,7))</f>
        <v>5040.877634</v>
      </c>
    </row>
    <row r="103" s="1" customFormat="1" ht="21.75" customHeight="1" spans="1:7">
      <c r="A103" s="514" t="s">
        <v>139</v>
      </c>
      <c r="B103" s="543"/>
      <c r="C103" s="544">
        <v>10740.565236</v>
      </c>
      <c r="D103" s="545">
        <v>2884.076019</v>
      </c>
      <c r="E103" s="546"/>
      <c r="F103" s="544">
        <f>SUMIFS('项目支出总表（开）'!V:V,'项目支出总表（开）'!C:C,MID(TRIM(A103),2,7))+SUMIFS('基本支出总表（开）'!M:M,'基本支出总表（开）'!C:C,MID(TRIM(A103),2,7))</f>
        <v>12208.210145</v>
      </c>
      <c r="G103" s="547">
        <f>SUMIFS('项目支出总表（铁）'!U:U,'项目支出总表（铁）'!C:C,MID(TRIM(A103),2,7))+SUMIFS('基本支出总表（铁）'!M:M,'基本支出总表（铁）'!C:C,MID(TRIM(A103),2,7))</f>
        <v>2803.806019</v>
      </c>
    </row>
    <row r="104" s="1" customFormat="1" ht="21.75" customHeight="1" spans="1:7">
      <c r="A104" s="512" t="s">
        <v>140</v>
      </c>
      <c r="B104" s="542">
        <f t="shared" ref="B104:B107" si="37">C104+D104</f>
        <v>300</v>
      </c>
      <c r="C104" s="542">
        <f t="shared" ref="C104:G104" si="38">SUM(C105)</f>
        <v>0</v>
      </c>
      <c r="D104" s="542">
        <f t="shared" si="38"/>
        <v>300</v>
      </c>
      <c r="E104" s="542">
        <f t="shared" ref="E104:E107" si="39">F104+G104</f>
        <v>300</v>
      </c>
      <c r="F104" s="542">
        <f t="shared" si="38"/>
        <v>0</v>
      </c>
      <c r="G104" s="542">
        <f t="shared" si="38"/>
        <v>300</v>
      </c>
    </row>
    <row r="105" s="1" customFormat="1" ht="21.75" customHeight="1" spans="1:7">
      <c r="A105" s="514" t="s">
        <v>141</v>
      </c>
      <c r="B105" s="543"/>
      <c r="C105" s="544"/>
      <c r="D105" s="545">
        <v>300</v>
      </c>
      <c r="E105" s="546"/>
      <c r="F105" s="544">
        <f>SUMIFS('项目支出总表（开）'!V:V,'项目支出总表（开）'!C:C,MID(TRIM(A105),2,7))+SUMIFS('基本支出总表（开）'!M:M,'基本支出总表（开）'!C:C,MID(TRIM(A105),2,7))</f>
        <v>0</v>
      </c>
      <c r="G105" s="547">
        <f>SUMIFS('项目支出总表（铁）'!U:U,'项目支出总表（铁）'!C:C,MID(TRIM(A105),2,7))+SUMIFS('基本支出总表（铁）'!M:M,'基本支出总表（铁）'!C:C,MID(TRIM(A105),2,7))</f>
        <v>300</v>
      </c>
    </row>
    <row r="106" s="1" customFormat="1" ht="21.75" customHeight="1" spans="1:7">
      <c r="A106" s="510" t="s">
        <v>142</v>
      </c>
      <c r="B106" s="540">
        <f t="shared" si="37"/>
        <v>2759.082243</v>
      </c>
      <c r="C106" s="541">
        <f t="shared" ref="C106:G106" si="40">C107+C110+C112</f>
        <v>2759.082243</v>
      </c>
      <c r="D106" s="541">
        <f t="shared" si="40"/>
        <v>0</v>
      </c>
      <c r="E106" s="541">
        <f t="shared" si="39"/>
        <v>9020.743743</v>
      </c>
      <c r="F106" s="541">
        <f t="shared" si="40"/>
        <v>9020.743743</v>
      </c>
      <c r="G106" s="541">
        <f t="shared" si="40"/>
        <v>0</v>
      </c>
    </row>
    <row r="107" s="1" customFormat="1" ht="21.75" customHeight="1" spans="1:7">
      <c r="A107" s="512" t="s">
        <v>143</v>
      </c>
      <c r="B107" s="542">
        <f t="shared" si="37"/>
        <v>595.682243</v>
      </c>
      <c r="C107" s="542">
        <f t="shared" ref="C107:G107" si="41">SUM(C108:C109)</f>
        <v>595.682243</v>
      </c>
      <c r="D107" s="542">
        <f t="shared" si="41"/>
        <v>0</v>
      </c>
      <c r="E107" s="542">
        <f t="shared" si="39"/>
        <v>654.042243</v>
      </c>
      <c r="F107" s="542">
        <f t="shared" si="41"/>
        <v>654.042243</v>
      </c>
      <c r="G107" s="542">
        <f t="shared" si="41"/>
        <v>0</v>
      </c>
    </row>
    <row r="108" s="1" customFormat="1" ht="21.75" customHeight="1" spans="1:7">
      <c r="A108" s="514" t="s">
        <v>144</v>
      </c>
      <c r="B108" s="543"/>
      <c r="C108" s="544">
        <v>250.682243</v>
      </c>
      <c r="D108" s="545"/>
      <c r="E108" s="546"/>
      <c r="F108" s="544">
        <f>SUMIFS('项目支出总表（开）'!V:V,'项目支出总表（开）'!C:C,MID(TRIM(A108),2,7))+SUMIFS('基本支出总表（开）'!M:M,'基本支出总表（开）'!C:C,MID(TRIM(A108),2,7))</f>
        <v>310.442243</v>
      </c>
      <c r="G108" s="547">
        <f>SUMIFS('项目支出总表（铁）'!U:U,'项目支出总表（铁）'!C:C,MID(TRIM(A108),2,7))+SUMIFS('基本支出总表（铁）'!M:M,'基本支出总表（铁）'!C:C,MID(TRIM(A108),2,7))</f>
        <v>0</v>
      </c>
    </row>
    <row r="109" s="1" customFormat="1" ht="21.75" customHeight="1" spans="1:7">
      <c r="A109" s="514" t="s">
        <v>145</v>
      </c>
      <c r="B109" s="543"/>
      <c r="C109" s="544">
        <v>345</v>
      </c>
      <c r="D109" s="545"/>
      <c r="E109" s="546"/>
      <c r="F109" s="544">
        <f>SUMIFS('项目支出总表（开）'!V:V,'项目支出总表（开）'!C:C,MID(TRIM(A109),2,7))+SUMIFS('基本支出总表（开）'!M:M,'基本支出总表（开）'!C:C,MID(TRIM(A109),2,7))</f>
        <v>343.6</v>
      </c>
      <c r="G109" s="547">
        <f>SUMIFS('项目支出总表（铁）'!U:U,'项目支出总表（铁）'!C:C,MID(TRIM(A109),2,7))+SUMIFS('基本支出总表（铁）'!M:M,'基本支出总表（铁）'!C:C,MID(TRIM(A109),2,7))</f>
        <v>0</v>
      </c>
    </row>
    <row r="110" s="1" customFormat="1" ht="21.75" customHeight="1" spans="1:7">
      <c r="A110" s="512" t="s">
        <v>146</v>
      </c>
      <c r="B110" s="542">
        <f t="shared" ref="B110:B116" si="42">C110+D110</f>
        <v>33.4</v>
      </c>
      <c r="C110" s="542">
        <f t="shared" ref="C110:G110" si="43">SUM(C111)</f>
        <v>33.4</v>
      </c>
      <c r="D110" s="542">
        <f t="shared" si="43"/>
        <v>0</v>
      </c>
      <c r="E110" s="542">
        <f t="shared" ref="E110:E116" si="44">F110+G110</f>
        <v>33.4</v>
      </c>
      <c r="F110" s="542">
        <f t="shared" si="43"/>
        <v>33.4</v>
      </c>
      <c r="G110" s="542">
        <f t="shared" si="43"/>
        <v>0</v>
      </c>
    </row>
    <row r="111" s="1" customFormat="1" ht="21.75" customHeight="1" spans="1:7">
      <c r="A111" s="514" t="s">
        <v>147</v>
      </c>
      <c r="B111" s="543"/>
      <c r="C111" s="544">
        <v>33.4</v>
      </c>
      <c r="D111" s="545"/>
      <c r="E111" s="546"/>
      <c r="F111" s="544">
        <f>SUMIFS('项目支出总表（开）'!V:V,'项目支出总表（开）'!C:C,MID(TRIM(A111),2,7))+SUMIFS('基本支出总表（开）'!M:M,'基本支出总表（开）'!C:C,MID(TRIM(A111),2,7))</f>
        <v>33.4</v>
      </c>
      <c r="G111" s="547">
        <f>SUMIFS('项目支出总表（铁）'!U:U,'项目支出总表（铁）'!C:C,MID(TRIM(A111),2,7))+SUMIFS('基本支出总表（铁）'!M:M,'基本支出总表（铁）'!C:C,MID(TRIM(A111),2,7))</f>
        <v>0</v>
      </c>
    </row>
    <row r="112" s="1" customFormat="1" ht="21.75" customHeight="1" spans="1:7">
      <c r="A112" s="512" t="s">
        <v>148</v>
      </c>
      <c r="B112" s="542">
        <f t="shared" si="42"/>
        <v>2130</v>
      </c>
      <c r="C112" s="542">
        <f t="shared" ref="C112:G112" si="45">SUM(C113:C114)</f>
        <v>2130</v>
      </c>
      <c r="D112" s="542">
        <f t="shared" si="45"/>
        <v>0</v>
      </c>
      <c r="E112" s="542">
        <f t="shared" si="44"/>
        <v>8333.3015</v>
      </c>
      <c r="F112" s="542">
        <f t="shared" si="45"/>
        <v>8333.3015</v>
      </c>
      <c r="G112" s="542">
        <f t="shared" si="45"/>
        <v>0</v>
      </c>
    </row>
    <row r="113" s="1" customFormat="1" ht="21.75" customHeight="1" spans="1:7">
      <c r="A113" s="514" t="s">
        <v>149</v>
      </c>
      <c r="B113" s="543"/>
      <c r="C113" s="544">
        <v>1000</v>
      </c>
      <c r="D113" s="545"/>
      <c r="E113" s="546"/>
      <c r="F113" s="544">
        <f>SUMIFS('项目支出总表（开）'!V:V,'项目支出总表（开）'!C:C,MID(TRIM(A113),2,7))+SUMIFS('基本支出总表（开）'!M:M,'基本支出总表（开）'!C:C,MID(TRIM(A113),2,7))</f>
        <v>7300</v>
      </c>
      <c r="G113" s="547">
        <f>SUMIFS('项目支出总表（铁）'!U:U,'项目支出总表（铁）'!C:C,MID(TRIM(A113),2,7))+SUMIFS('基本支出总表（铁）'!M:M,'基本支出总表（铁）'!C:C,MID(TRIM(A113),2,7))</f>
        <v>0</v>
      </c>
    </row>
    <row r="114" s="1" customFormat="1" ht="21.75" customHeight="1" spans="1:7">
      <c r="A114" s="514" t="s">
        <v>150</v>
      </c>
      <c r="B114" s="543"/>
      <c r="C114" s="544">
        <v>1130</v>
      </c>
      <c r="D114" s="545"/>
      <c r="E114" s="546"/>
      <c r="F114" s="544">
        <f>SUMIFS('项目支出总表（开）'!V:V,'项目支出总表（开）'!C:C,MID(TRIM(A114),2,7))+SUMIFS('基本支出总表（开）'!M:M,'基本支出总表（开）'!C:C,MID(TRIM(A114),2,7))</f>
        <v>1033.3015</v>
      </c>
      <c r="G114" s="547">
        <f>SUMIFS('项目支出总表（铁）'!U:U,'项目支出总表（铁）'!C:C,MID(TRIM(A114),2,7))+SUMIFS('基本支出总表（铁）'!M:M,'基本支出总表（铁）'!C:C,MID(TRIM(A114),2,7))</f>
        <v>0</v>
      </c>
    </row>
    <row r="115" s="1" customFormat="1" ht="21.75" customHeight="1" spans="1:7">
      <c r="A115" s="510" t="s">
        <v>151</v>
      </c>
      <c r="B115" s="540">
        <f t="shared" si="42"/>
        <v>416.420797</v>
      </c>
      <c r="C115" s="541">
        <f t="shared" ref="C115:G115" si="46">C116+C121+C125</f>
        <v>416.420797</v>
      </c>
      <c r="D115" s="541">
        <f t="shared" si="46"/>
        <v>0</v>
      </c>
      <c r="E115" s="541">
        <f t="shared" si="44"/>
        <v>553.670812</v>
      </c>
      <c r="F115" s="541">
        <f t="shared" si="46"/>
        <v>553.670812</v>
      </c>
      <c r="G115" s="541">
        <f t="shared" si="46"/>
        <v>0</v>
      </c>
    </row>
    <row r="116" s="1" customFormat="1" ht="21.75" customHeight="1" spans="1:7">
      <c r="A116" s="512" t="s">
        <v>152</v>
      </c>
      <c r="B116" s="542">
        <f t="shared" si="42"/>
        <v>329.420797</v>
      </c>
      <c r="C116" s="542">
        <f t="shared" ref="C116:G116" si="47">SUM(C117:C120)</f>
        <v>329.420797</v>
      </c>
      <c r="D116" s="542">
        <f t="shared" si="47"/>
        <v>0</v>
      </c>
      <c r="E116" s="542">
        <f t="shared" si="44"/>
        <v>416.995997</v>
      </c>
      <c r="F116" s="542">
        <f t="shared" si="47"/>
        <v>416.995997</v>
      </c>
      <c r="G116" s="542">
        <f t="shared" si="47"/>
        <v>0</v>
      </c>
    </row>
    <row r="117" s="1" customFormat="1" ht="21.75" customHeight="1" spans="1:7">
      <c r="A117" s="514" t="s">
        <v>153</v>
      </c>
      <c r="B117" s="543"/>
      <c r="C117" s="544">
        <v>169.320797</v>
      </c>
      <c r="D117" s="545"/>
      <c r="E117" s="546"/>
      <c r="F117" s="544">
        <f>SUMIFS('项目支出总表（开）'!V:V,'项目支出总表（开）'!C:C,MID(TRIM(A117),2,7))+SUMIFS('基本支出总表（开）'!M:M,'基本支出总表（开）'!C:C,MID(TRIM(A117),2,7))</f>
        <v>210.300797</v>
      </c>
      <c r="G117" s="547">
        <f>SUMIFS('项目支出总表（铁）'!U:U,'项目支出总表（铁）'!C:C,MID(TRIM(A117),2,7))+SUMIFS('基本支出总表（铁）'!M:M,'基本支出总表（铁）'!C:C,MID(TRIM(A117),2,7))</f>
        <v>0</v>
      </c>
    </row>
    <row r="118" s="1" customFormat="1" ht="21.75" customHeight="1" spans="1:7">
      <c r="A118" s="516" t="s">
        <v>154</v>
      </c>
      <c r="B118" s="548"/>
      <c r="C118" s="544"/>
      <c r="D118" s="545"/>
      <c r="E118" s="549"/>
      <c r="F118" s="544">
        <f>SUMIFS('项目支出总表（开）'!V:V,'项目支出总表（开）'!C:C,MID(TRIM(A118),2,7))+SUMIFS('基本支出总表（开）'!M:M,'基本支出总表（开）'!C:C,MID(TRIM(A118),2,7))</f>
        <v>1.2</v>
      </c>
      <c r="G118" s="547">
        <f>SUMIFS('项目支出总表（铁）'!U:U,'项目支出总表（铁）'!C:C,MID(TRIM(A118),2,7))+SUMIFS('基本支出总表（铁）'!M:M,'基本支出总表（铁）'!C:C,MID(TRIM(A118),2,7))</f>
        <v>0</v>
      </c>
    </row>
    <row r="119" s="1" customFormat="1" ht="21.75" customHeight="1" spans="1:7">
      <c r="A119" s="514" t="s">
        <v>155</v>
      </c>
      <c r="B119" s="543"/>
      <c r="C119" s="544">
        <v>87.54</v>
      </c>
      <c r="D119" s="545"/>
      <c r="E119" s="546"/>
      <c r="F119" s="544">
        <f>SUMIFS('项目支出总表（开）'!V:V,'项目支出总表（开）'!C:C,MID(TRIM(A119),2,7))+SUMIFS('基本支出总表（开）'!M:M,'基本支出总表（开）'!C:C,MID(TRIM(A119),2,7))</f>
        <v>35.9</v>
      </c>
      <c r="G119" s="547">
        <f>SUMIFS('项目支出总表（铁）'!U:U,'项目支出总表（铁）'!C:C,MID(TRIM(A119),2,7))+SUMIFS('基本支出总表（铁）'!M:M,'基本支出总表（铁）'!C:C,MID(TRIM(A119),2,7))</f>
        <v>0</v>
      </c>
    </row>
    <row r="120" s="1" customFormat="1" ht="21.75" customHeight="1" spans="1:7">
      <c r="A120" s="514" t="s">
        <v>156</v>
      </c>
      <c r="B120" s="543"/>
      <c r="C120" s="544">
        <v>72.56</v>
      </c>
      <c r="D120" s="545"/>
      <c r="E120" s="546"/>
      <c r="F120" s="544">
        <f>SUMIFS('项目支出总表（开）'!V:V,'项目支出总表（开）'!C:C,MID(TRIM(A120),2,7))+SUMIFS('基本支出总表（开）'!M:M,'基本支出总表（开）'!C:C,MID(TRIM(A120),2,7))</f>
        <v>169.5952</v>
      </c>
      <c r="G120" s="547">
        <f>SUMIFS('项目支出总表（铁）'!U:U,'项目支出总表（铁）'!C:C,MID(TRIM(A120),2,7))+SUMIFS('基本支出总表（铁）'!M:M,'基本支出总表（铁）'!C:C,MID(TRIM(A120),2,7))</f>
        <v>0</v>
      </c>
    </row>
    <row r="121" s="1" customFormat="1" ht="21.75" customHeight="1" spans="1:7">
      <c r="A121" s="512" t="s">
        <v>157</v>
      </c>
      <c r="B121" s="542">
        <f>C121+D121</f>
        <v>77</v>
      </c>
      <c r="C121" s="542">
        <f t="shared" ref="C121:G121" si="48">SUM(C122:C124)</f>
        <v>77</v>
      </c>
      <c r="D121" s="542">
        <f t="shared" si="48"/>
        <v>0</v>
      </c>
      <c r="E121" s="542">
        <f>F121+G121</f>
        <v>98.674815</v>
      </c>
      <c r="F121" s="542">
        <f t="shared" si="48"/>
        <v>98.674815</v>
      </c>
      <c r="G121" s="542">
        <f t="shared" si="48"/>
        <v>0</v>
      </c>
    </row>
    <row r="122" s="1" customFormat="1" ht="21.75" customHeight="1" spans="1:7">
      <c r="A122" s="516" t="s">
        <v>158</v>
      </c>
      <c r="B122" s="548"/>
      <c r="C122" s="544"/>
      <c r="D122" s="545"/>
      <c r="E122" s="549"/>
      <c r="F122" s="544">
        <f>SUMIFS('项目支出总表（开）'!V:V,'项目支出总表（开）'!C:C,MID(TRIM(A122),2,7))+SUMIFS('基本支出总表（开）'!M:M,'基本支出总表（开）'!C:C,MID(TRIM(A122),2,7))</f>
        <v>1.2</v>
      </c>
      <c r="G122" s="547">
        <f>SUMIFS('项目支出总表（铁）'!U:U,'项目支出总表（铁）'!C:C,MID(TRIM(A122),2,7))+SUMIFS('基本支出总表（铁）'!M:M,'基本支出总表（铁）'!C:C,MID(TRIM(A122),2,7))</f>
        <v>0</v>
      </c>
    </row>
    <row r="123" s="1" customFormat="1" ht="21.75" customHeight="1" spans="1:7">
      <c r="A123" s="516" t="s">
        <v>159</v>
      </c>
      <c r="B123" s="548"/>
      <c r="C123" s="544"/>
      <c r="D123" s="545"/>
      <c r="E123" s="549"/>
      <c r="F123" s="544">
        <f>SUMIFS('项目支出总表（开）'!V:V,'项目支出总表（开）'!C:C,MID(TRIM(A123),2,7))+SUMIFS('基本支出总表（开）'!M:M,'基本支出总表（开）'!C:C,MID(TRIM(A123),2,7))</f>
        <v>1</v>
      </c>
      <c r="G123" s="547">
        <f>SUMIFS('项目支出总表（铁）'!U:U,'项目支出总表（铁）'!C:C,MID(TRIM(A123),2,7))+SUMIFS('基本支出总表（铁）'!M:M,'基本支出总表（铁）'!C:C,MID(TRIM(A123),2,7))</f>
        <v>0</v>
      </c>
    </row>
    <row r="124" s="1" customFormat="1" ht="21.75" customHeight="1" spans="1:7">
      <c r="A124" s="514" t="s">
        <v>160</v>
      </c>
      <c r="B124" s="543"/>
      <c r="C124" s="544">
        <v>77</v>
      </c>
      <c r="D124" s="545"/>
      <c r="E124" s="546"/>
      <c r="F124" s="544">
        <f>SUMIFS('项目支出总表（开）'!V:V,'项目支出总表（开）'!C:C,MID(TRIM(A124),2,7))+SUMIFS('基本支出总表（开）'!M:M,'基本支出总表（开）'!C:C,MID(TRIM(A124),2,7))</f>
        <v>96.474815</v>
      </c>
      <c r="G124" s="547">
        <f>SUMIFS('项目支出总表（铁）'!U:U,'项目支出总表（铁）'!C:C,MID(TRIM(A124),2,7))+SUMIFS('基本支出总表（铁）'!M:M,'基本支出总表（铁）'!C:C,MID(TRIM(A124),2,7))</f>
        <v>0</v>
      </c>
    </row>
    <row r="125" s="1" customFormat="1" ht="21.75" customHeight="1" spans="1:7">
      <c r="A125" s="512" t="s">
        <v>161</v>
      </c>
      <c r="B125" s="542">
        <f t="shared" ref="B125:B128" si="49">C125+D125</f>
        <v>10</v>
      </c>
      <c r="C125" s="542">
        <f t="shared" ref="C125:G125" si="50">SUM(C126)</f>
        <v>10</v>
      </c>
      <c r="D125" s="542">
        <f t="shared" si="50"/>
        <v>0</v>
      </c>
      <c r="E125" s="542">
        <f t="shared" ref="E125:E128" si="51">F125+G125</f>
        <v>38</v>
      </c>
      <c r="F125" s="542">
        <f t="shared" si="50"/>
        <v>38</v>
      </c>
      <c r="G125" s="542">
        <f t="shared" si="50"/>
        <v>0</v>
      </c>
    </row>
    <row r="126" s="1" customFormat="1" ht="21.75" customHeight="1" spans="1:7">
      <c r="A126" s="514" t="s">
        <v>162</v>
      </c>
      <c r="B126" s="543"/>
      <c r="C126" s="544">
        <v>10</v>
      </c>
      <c r="D126" s="545"/>
      <c r="E126" s="546"/>
      <c r="F126" s="544">
        <f>SUMIFS('项目支出总表（开）'!V:V,'项目支出总表（开）'!C:C,MID(TRIM(A126),2,7))+SUMIFS('基本支出总表（开）'!M:M,'基本支出总表（开）'!C:C,MID(TRIM(A126),2,7))</f>
        <v>38</v>
      </c>
      <c r="G126" s="547">
        <f>SUMIFS('项目支出总表（铁）'!U:U,'项目支出总表（铁）'!C:C,MID(TRIM(A126),2,7))+SUMIFS('基本支出总表（铁）'!M:M,'基本支出总表（铁）'!C:C,MID(TRIM(A126),2,7))</f>
        <v>0</v>
      </c>
    </row>
    <row r="127" s="1" customFormat="1" ht="21.75" customHeight="1" spans="1:7">
      <c r="A127" s="510" t="s">
        <v>163</v>
      </c>
      <c r="B127" s="540">
        <f t="shared" si="49"/>
        <v>21487.246466</v>
      </c>
      <c r="C127" s="541">
        <f t="shared" ref="C127:G127" si="52">C128+C133+C137+C140+C143+C147+C150+C154+C160+C162+C164+C166+C173+C171</f>
        <v>18687.136466</v>
      </c>
      <c r="D127" s="541">
        <f t="shared" si="52"/>
        <v>2800.11</v>
      </c>
      <c r="E127" s="541">
        <f t="shared" si="51"/>
        <v>20590.668504</v>
      </c>
      <c r="F127" s="541">
        <f t="shared" si="52"/>
        <v>18018.248504</v>
      </c>
      <c r="G127" s="541">
        <f t="shared" si="52"/>
        <v>2572.42</v>
      </c>
    </row>
    <row r="128" s="1" customFormat="1" ht="21.75" customHeight="1" spans="1:7">
      <c r="A128" s="512" t="s">
        <v>164</v>
      </c>
      <c r="B128" s="542">
        <f t="shared" si="49"/>
        <v>4315.72208</v>
      </c>
      <c r="C128" s="542">
        <f t="shared" ref="C128:G128" si="53">SUM(C129:C132)</f>
        <v>4315.72208</v>
      </c>
      <c r="D128" s="542">
        <f t="shared" si="53"/>
        <v>0</v>
      </c>
      <c r="E128" s="542">
        <f t="shared" si="51"/>
        <v>4326.932704</v>
      </c>
      <c r="F128" s="542">
        <f t="shared" si="53"/>
        <v>4326.932704</v>
      </c>
      <c r="G128" s="542">
        <f t="shared" si="53"/>
        <v>0</v>
      </c>
    </row>
    <row r="129" s="1" customFormat="1" ht="21.75" customHeight="1" spans="1:7">
      <c r="A129" s="514" t="s">
        <v>165</v>
      </c>
      <c r="B129" s="543"/>
      <c r="C129" s="544">
        <v>416.90164</v>
      </c>
      <c r="D129" s="545"/>
      <c r="E129" s="546"/>
      <c r="F129" s="544">
        <f>SUMIFS('项目支出总表（开）'!V:V,'项目支出总表（开）'!C:C,MID(TRIM(A129),2,7))+SUMIFS('基本支出总表（开）'!M:M,'基本支出总表（开）'!C:C,MID(TRIM(A129),2,7))</f>
        <v>416.90164</v>
      </c>
      <c r="G129" s="547">
        <f>SUMIFS('项目支出总表（铁）'!U:U,'项目支出总表（铁）'!C:C,MID(TRIM(A129),2,7))+SUMIFS('基本支出总表（铁）'!M:M,'基本支出总表（铁）'!C:C,MID(TRIM(A129),2,7))</f>
        <v>0</v>
      </c>
    </row>
    <row r="130" s="1" customFormat="1" ht="21.75" customHeight="1" spans="1:7">
      <c r="A130" s="514" t="s">
        <v>166</v>
      </c>
      <c r="B130" s="543"/>
      <c r="C130" s="544">
        <v>498.3</v>
      </c>
      <c r="D130" s="545"/>
      <c r="E130" s="546"/>
      <c r="F130" s="544">
        <f>SUMIFS('项目支出总表（开）'!V:V,'项目支出总表（开）'!C:C,MID(TRIM(A130),2,7))+SUMIFS('基本支出总表（开）'!M:M,'基本支出总表（开）'!C:C,MID(TRIM(A130),2,7))</f>
        <v>432.62</v>
      </c>
      <c r="G130" s="547">
        <f>SUMIFS('项目支出总表（铁）'!U:U,'项目支出总表（铁）'!C:C,MID(TRIM(A130),2,7))+SUMIFS('基本支出总表（铁）'!M:M,'基本支出总表（铁）'!C:C,MID(TRIM(A130),2,7))</f>
        <v>0</v>
      </c>
    </row>
    <row r="131" s="1" customFormat="1" ht="21.75" customHeight="1" spans="1:7">
      <c r="A131" s="514" t="s">
        <v>167</v>
      </c>
      <c r="B131" s="543"/>
      <c r="C131" s="544">
        <v>83.52044</v>
      </c>
      <c r="D131" s="545"/>
      <c r="E131" s="546"/>
      <c r="F131" s="544">
        <f>SUMIFS('项目支出总表（开）'!V:V,'项目支出总表（开）'!C:C,MID(TRIM(A131),2,7))+SUMIFS('基本支出总表（开）'!M:M,'基本支出总表（开）'!C:C,MID(TRIM(A131),2,7))</f>
        <v>95.52044</v>
      </c>
      <c r="G131" s="547">
        <f>SUMIFS('项目支出总表（铁）'!U:U,'项目支出总表（铁）'!C:C,MID(TRIM(A131),2,7))+SUMIFS('基本支出总表（铁）'!M:M,'基本支出总表（铁）'!C:C,MID(TRIM(A131),2,7))</f>
        <v>0</v>
      </c>
    </row>
    <row r="132" s="1" customFormat="1" ht="21.75" customHeight="1" spans="1:7">
      <c r="A132" s="514" t="s">
        <v>168</v>
      </c>
      <c r="B132" s="543"/>
      <c r="C132" s="544">
        <v>3317</v>
      </c>
      <c r="D132" s="545"/>
      <c r="E132" s="546"/>
      <c r="F132" s="544">
        <f>SUMIFS('项目支出总表（开）'!V:V,'项目支出总表（开）'!C:C,MID(TRIM(A132),2,7))+SUMIFS('基本支出总表（开）'!M:M,'基本支出总表（开）'!C:C,MID(TRIM(A132),2,7))</f>
        <v>3381.890624</v>
      </c>
      <c r="G132" s="547">
        <f>SUMIFS('项目支出总表（铁）'!U:U,'项目支出总表（铁）'!C:C,MID(TRIM(A132),2,7))+SUMIFS('基本支出总表（铁）'!M:M,'基本支出总表（铁）'!C:C,MID(TRIM(A132),2,7))</f>
        <v>0</v>
      </c>
    </row>
    <row r="133" s="1" customFormat="1" ht="21.75" customHeight="1" spans="1:7">
      <c r="A133" s="512" t="s">
        <v>169</v>
      </c>
      <c r="B133" s="542">
        <f>C133+D133</f>
        <v>1748.805933</v>
      </c>
      <c r="C133" s="542">
        <f t="shared" ref="C133:G133" si="54">SUM(C134:C136)</f>
        <v>951.885933</v>
      </c>
      <c r="D133" s="542">
        <f t="shared" si="54"/>
        <v>796.92</v>
      </c>
      <c r="E133" s="542">
        <f>F133+G133</f>
        <v>2212.167541</v>
      </c>
      <c r="F133" s="542">
        <f t="shared" si="54"/>
        <v>1223.247541</v>
      </c>
      <c r="G133" s="542">
        <f t="shared" si="54"/>
        <v>988.92</v>
      </c>
    </row>
    <row r="134" s="1" customFormat="1" ht="21.75" customHeight="1" spans="1:7">
      <c r="A134" s="514" t="s">
        <v>170</v>
      </c>
      <c r="B134" s="543"/>
      <c r="C134" s="544">
        <v>244.685933</v>
      </c>
      <c r="D134" s="545"/>
      <c r="E134" s="546"/>
      <c r="F134" s="544">
        <f>SUMIFS('项目支出总表（开）'!V:V,'项目支出总表（开）'!C:C,MID(TRIM(A134),2,7))+SUMIFS('基本支出总表（开）'!M:M,'基本支出总表（开）'!C:C,MID(TRIM(A134),2,7))</f>
        <v>244.685933</v>
      </c>
      <c r="G134" s="547">
        <f>SUMIFS('项目支出总表（铁）'!U:U,'项目支出总表（铁）'!C:C,MID(TRIM(A134),2,7))+SUMIFS('基本支出总表（铁）'!M:M,'基本支出总表（铁）'!C:C,MID(TRIM(A134),2,7))</f>
        <v>0</v>
      </c>
    </row>
    <row r="135" s="1" customFormat="1" ht="21.75" customHeight="1" spans="1:7">
      <c r="A135" s="514" t="s">
        <v>171</v>
      </c>
      <c r="B135" s="543"/>
      <c r="C135" s="544">
        <v>131.5</v>
      </c>
      <c r="D135" s="545"/>
      <c r="E135" s="546"/>
      <c r="F135" s="544">
        <f>SUMIFS('项目支出总表（开）'!V:V,'项目支出总表（开）'!C:C,MID(TRIM(A135),2,7))+SUMIFS('基本支出总表（开）'!M:M,'基本支出总表（开）'!C:C,MID(TRIM(A135),2,7))</f>
        <v>144</v>
      </c>
      <c r="G135" s="547">
        <f>SUMIFS('项目支出总表（铁）'!U:U,'项目支出总表（铁）'!C:C,MID(TRIM(A135),2,7))+SUMIFS('基本支出总表（铁）'!M:M,'基本支出总表（铁）'!C:C,MID(TRIM(A135),2,7))</f>
        <v>0</v>
      </c>
    </row>
    <row r="136" s="1" customFormat="1" ht="21.75" customHeight="1" spans="1:7">
      <c r="A136" s="514" t="s">
        <v>172</v>
      </c>
      <c r="B136" s="543"/>
      <c r="C136" s="544">
        <v>575.7</v>
      </c>
      <c r="D136" s="545">
        <f>VLOOKUP(A136,'02-2功能项级分类（铁）'!$A$6:$B$82,2,0)</f>
        <v>796.92</v>
      </c>
      <c r="E136" s="546"/>
      <c r="F136" s="544">
        <f>SUMIFS('项目支出总表（开）'!V:V,'项目支出总表（开）'!C:C,MID(TRIM(A136),2,7))+SUMIFS('基本支出总表（开）'!M:M,'基本支出总表（开）'!C:C,MID(TRIM(A136),2,7))</f>
        <v>834.561608</v>
      </c>
      <c r="G136" s="547">
        <f>SUMIFS('项目支出总表（铁）'!U:U,'项目支出总表（铁）'!C:C,MID(TRIM(A136),2,7))+SUMIFS('基本支出总表（铁）'!M:M,'基本支出总表（铁）'!C:C,MID(TRIM(A136),2,7))</f>
        <v>988.92</v>
      </c>
    </row>
    <row r="137" s="1" customFormat="1" ht="21.75" customHeight="1" spans="1:7">
      <c r="A137" s="512" t="s">
        <v>173</v>
      </c>
      <c r="B137" s="542">
        <f>C137+D137</f>
        <v>4230</v>
      </c>
      <c r="C137" s="542">
        <f t="shared" ref="C137:G137" si="55">SUM(C138:C139)</f>
        <v>2330</v>
      </c>
      <c r="D137" s="542">
        <f t="shared" si="55"/>
        <v>1900</v>
      </c>
      <c r="E137" s="542">
        <f>F137+G137</f>
        <v>2308</v>
      </c>
      <c r="F137" s="542">
        <f t="shared" si="55"/>
        <v>832</v>
      </c>
      <c r="G137" s="542">
        <f t="shared" si="55"/>
        <v>1476</v>
      </c>
    </row>
    <row r="138" s="1" customFormat="1" ht="21.75" customHeight="1" spans="1:7">
      <c r="A138" s="514" t="s">
        <v>174</v>
      </c>
      <c r="B138" s="543"/>
      <c r="C138" s="544">
        <v>2330</v>
      </c>
      <c r="D138" s="545">
        <v>1900</v>
      </c>
      <c r="E138" s="546"/>
      <c r="F138" s="544">
        <f>SUMIFS('项目支出总表（开）'!V:V,'项目支出总表（开）'!C:C,MID(TRIM(A138),2,7))+SUMIFS('基本支出总表（开）'!M:M,'基本支出总表（开）'!C:C,MID(TRIM(A138),2,7))</f>
        <v>427</v>
      </c>
      <c r="G138" s="547">
        <f>SUMIFS('项目支出总表（铁）'!U:U,'项目支出总表（铁）'!C:C,MID(TRIM(A138),2,7))+SUMIFS('基本支出总表（铁）'!M:M,'基本支出总表（铁）'!C:C,MID(TRIM(A138),2,7))</f>
        <v>1289</v>
      </c>
    </row>
    <row r="139" s="1" customFormat="1" ht="21.75" customHeight="1" spans="1:7">
      <c r="A139" s="516" t="s">
        <v>175</v>
      </c>
      <c r="B139" s="548"/>
      <c r="C139" s="544">
        <v>0</v>
      </c>
      <c r="D139" s="545">
        <f>VLOOKUP(A139,'02-2功能项级分类（铁）'!$A$6:$B$82,2,0)</f>
        <v>0</v>
      </c>
      <c r="E139" s="549"/>
      <c r="F139" s="544">
        <f>SUMIFS('项目支出总表（开）'!V:V,'项目支出总表（开）'!C:C,MID(TRIM(A139),2,7))+SUMIFS('基本支出总表（开）'!M:M,'基本支出总表（开）'!C:C,MID(TRIM(A139),2,7))</f>
        <v>405</v>
      </c>
      <c r="G139" s="547">
        <f>SUMIFS('项目支出总表（铁）'!U:U,'项目支出总表（铁）'!C:C,MID(TRIM(A139),2,7))+SUMIFS('基本支出总表（铁）'!M:M,'基本支出总表（铁）'!C:C,MID(TRIM(A139),2,7))</f>
        <v>187</v>
      </c>
    </row>
    <row r="140" s="1" customFormat="1" ht="21.75" customHeight="1" spans="1:7">
      <c r="A140" s="512" t="s">
        <v>176</v>
      </c>
      <c r="B140" s="542">
        <f>C140+D140</f>
        <v>2600</v>
      </c>
      <c r="C140" s="542">
        <f t="shared" ref="C140:G140" si="56">SUM(C141:C142)</f>
        <v>2600</v>
      </c>
      <c r="D140" s="542">
        <f t="shared" si="56"/>
        <v>0</v>
      </c>
      <c r="E140" s="542">
        <f>F140+G140</f>
        <v>3028.27</v>
      </c>
      <c r="F140" s="542">
        <f t="shared" si="56"/>
        <v>3028.27</v>
      </c>
      <c r="G140" s="542">
        <f t="shared" si="56"/>
        <v>0</v>
      </c>
    </row>
    <row r="141" s="1" customFormat="1" ht="21.75" customHeight="1" spans="1:7">
      <c r="A141" s="514" t="s">
        <v>177</v>
      </c>
      <c r="B141" s="543"/>
      <c r="C141" s="544">
        <v>600</v>
      </c>
      <c r="D141" s="545"/>
      <c r="E141" s="546"/>
      <c r="F141" s="544">
        <f>SUMIFS('项目支出总表（开）'!V:V,'项目支出总表（开）'!C:C,MID(TRIM(A141),2,7))+SUMIFS('基本支出总表（开）'!M:M,'基本支出总表（开）'!C:C,MID(TRIM(A141),2,7))</f>
        <v>450</v>
      </c>
      <c r="G141" s="547">
        <f>SUMIFS('项目支出总表（铁）'!U:U,'项目支出总表（铁）'!C:C,MID(TRIM(A141),2,7))+SUMIFS('基本支出总表（铁）'!M:M,'基本支出总表（铁）'!C:C,MID(TRIM(A141),2,7))</f>
        <v>0</v>
      </c>
    </row>
    <row r="142" s="1" customFormat="1" ht="21.75" customHeight="1" spans="1:7">
      <c r="A142" s="514" t="s">
        <v>178</v>
      </c>
      <c r="B142" s="543"/>
      <c r="C142" s="544">
        <v>2000</v>
      </c>
      <c r="D142" s="545"/>
      <c r="E142" s="546"/>
      <c r="F142" s="544">
        <f>SUMIFS('项目支出总表（开）'!V:V,'项目支出总表（开）'!C:C,MID(TRIM(A142),2,7))+SUMIFS('基本支出总表（开）'!M:M,'基本支出总表（开）'!C:C,MID(TRIM(A142),2,7))</f>
        <v>2578.27</v>
      </c>
      <c r="G142" s="547">
        <f>SUMIFS('项目支出总表（铁）'!U:U,'项目支出总表（铁）'!C:C,MID(TRIM(A142),2,7))+SUMIFS('基本支出总表（铁）'!M:M,'基本支出总表（铁）'!C:C,MID(TRIM(A142),2,7))</f>
        <v>0</v>
      </c>
    </row>
    <row r="143" s="1" customFormat="1" ht="21.75" customHeight="1" spans="1:7">
      <c r="A143" s="512" t="s">
        <v>179</v>
      </c>
      <c r="B143" s="542">
        <f>C143+D143</f>
        <v>990</v>
      </c>
      <c r="C143" s="542">
        <f t="shared" ref="C143:G143" si="57">SUM(C144:C146)</f>
        <v>990</v>
      </c>
      <c r="D143" s="542">
        <f t="shared" si="57"/>
        <v>0</v>
      </c>
      <c r="E143" s="542">
        <f>F143+G143</f>
        <v>1023.7532</v>
      </c>
      <c r="F143" s="542">
        <f t="shared" si="57"/>
        <v>1023.7532</v>
      </c>
      <c r="G143" s="542">
        <f t="shared" si="57"/>
        <v>0</v>
      </c>
    </row>
    <row r="144" s="1" customFormat="1" ht="21.75" customHeight="1" spans="1:7">
      <c r="A144" s="514" t="s">
        <v>180</v>
      </c>
      <c r="B144" s="543"/>
      <c r="C144" s="544">
        <v>160</v>
      </c>
      <c r="D144" s="545"/>
      <c r="E144" s="546"/>
      <c r="F144" s="544">
        <f>SUMIFS('项目支出总表（开）'!V:V,'项目支出总表（开）'!C:C,MID(TRIM(A144),2,7))+SUMIFS('基本支出总表（开）'!M:M,'基本支出总表（开）'!C:C,MID(TRIM(A144),2,7))</f>
        <v>130</v>
      </c>
      <c r="G144" s="547">
        <f>SUMIFS('项目支出总表（铁）'!U:U,'项目支出总表（铁）'!C:C,MID(TRIM(A144),2,7))+SUMIFS('基本支出总表（铁）'!M:M,'基本支出总表（铁）'!C:C,MID(TRIM(A144),2,7))</f>
        <v>0</v>
      </c>
    </row>
    <row r="145" s="1" customFormat="1" ht="21.75" customHeight="1" spans="1:7">
      <c r="A145" s="514" t="s">
        <v>181</v>
      </c>
      <c r="B145" s="543"/>
      <c r="C145" s="544">
        <v>370</v>
      </c>
      <c r="D145" s="545"/>
      <c r="E145" s="546"/>
      <c r="F145" s="544">
        <f>SUMIFS('项目支出总表（开）'!V:V,'项目支出总表（开）'!C:C,MID(TRIM(A145),2,7))+SUMIFS('基本支出总表（开）'!M:M,'基本支出总表（开）'!C:C,MID(TRIM(A145),2,7))</f>
        <v>379.7532</v>
      </c>
      <c r="G145" s="547">
        <f>SUMIFS('项目支出总表（铁）'!U:U,'项目支出总表（铁）'!C:C,MID(TRIM(A145),2,7))+SUMIFS('基本支出总表（铁）'!M:M,'基本支出总表（铁）'!C:C,MID(TRIM(A145),2,7))</f>
        <v>0</v>
      </c>
    </row>
    <row r="146" s="1" customFormat="1" ht="21.75" customHeight="1" spans="1:7">
      <c r="A146" s="514" t="s">
        <v>182</v>
      </c>
      <c r="B146" s="543"/>
      <c r="C146" s="544">
        <v>460</v>
      </c>
      <c r="D146" s="545"/>
      <c r="E146" s="546"/>
      <c r="F146" s="544">
        <f>SUMIFS('项目支出总表（开）'!V:V,'项目支出总表（开）'!C:C,MID(TRIM(A146),2,7))+SUMIFS('基本支出总表（开）'!M:M,'基本支出总表（开）'!C:C,MID(TRIM(A146),2,7))</f>
        <v>514</v>
      </c>
      <c r="G146" s="547">
        <f>SUMIFS('项目支出总表（铁）'!U:U,'项目支出总表（铁）'!C:C,MID(TRIM(A146),2,7))+SUMIFS('基本支出总表（铁）'!M:M,'基本支出总表（铁）'!C:C,MID(TRIM(A146),2,7))</f>
        <v>0</v>
      </c>
    </row>
    <row r="147" s="1" customFormat="1" ht="21.75" customHeight="1" spans="1:7">
      <c r="A147" s="512" t="s">
        <v>183</v>
      </c>
      <c r="B147" s="542">
        <f>C147+D147</f>
        <v>57.4</v>
      </c>
      <c r="C147" s="542">
        <f t="shared" ref="C147:G147" si="58">SUM(C148:C149)</f>
        <v>57.4</v>
      </c>
      <c r="D147" s="542">
        <f t="shared" si="58"/>
        <v>0</v>
      </c>
      <c r="E147" s="542">
        <f>F147+G147</f>
        <v>61.4</v>
      </c>
      <c r="F147" s="542">
        <f t="shared" si="58"/>
        <v>61.4</v>
      </c>
      <c r="G147" s="542">
        <f t="shared" si="58"/>
        <v>0</v>
      </c>
    </row>
    <row r="148" s="1" customFormat="1" ht="21.75" customHeight="1" spans="1:7">
      <c r="A148" s="514" t="s">
        <v>184</v>
      </c>
      <c r="B148" s="543"/>
      <c r="C148" s="544">
        <v>45</v>
      </c>
      <c r="D148" s="545"/>
      <c r="E148" s="546"/>
      <c r="F148" s="544">
        <f>SUMIFS('项目支出总表（开）'!V:V,'项目支出总表（开）'!C:C,MID(TRIM(A148),2,7))+SUMIFS('基本支出总表（开）'!M:M,'基本支出总表（开）'!C:C,MID(TRIM(A148),2,7))</f>
        <v>56</v>
      </c>
      <c r="G148" s="547">
        <f>SUMIFS('项目支出总表（铁）'!U:U,'项目支出总表（铁）'!C:C,MID(TRIM(A148),2,7))+SUMIFS('基本支出总表（铁）'!M:M,'基本支出总表（铁）'!C:C,MID(TRIM(A148),2,7))</f>
        <v>0</v>
      </c>
    </row>
    <row r="149" s="1" customFormat="1" ht="21.75" customHeight="1" spans="1:7">
      <c r="A149" s="514" t="s">
        <v>185</v>
      </c>
      <c r="B149" s="543"/>
      <c r="C149" s="544">
        <v>12.4</v>
      </c>
      <c r="D149" s="545"/>
      <c r="E149" s="546"/>
      <c r="F149" s="544">
        <f>SUMIFS('项目支出总表（开）'!V:V,'项目支出总表（开）'!C:C,MID(TRIM(A149),2,7))+SUMIFS('基本支出总表（开）'!M:M,'基本支出总表（开）'!C:C,MID(TRIM(A149),2,7))</f>
        <v>5.4</v>
      </c>
      <c r="G149" s="547">
        <f>SUMIFS('项目支出总表（铁）'!U:U,'项目支出总表（铁）'!C:C,MID(TRIM(A149),2,7))+SUMIFS('基本支出总表（铁）'!M:M,'基本支出总表（铁）'!C:C,MID(TRIM(A149),2,7))</f>
        <v>0</v>
      </c>
    </row>
    <row r="150" s="1" customFormat="1" ht="21.75" customHeight="1" spans="1:7">
      <c r="A150" s="512" t="s">
        <v>186</v>
      </c>
      <c r="B150" s="542">
        <f>C150+D150</f>
        <v>5021</v>
      </c>
      <c r="C150" s="542">
        <f t="shared" ref="C150:G150" si="59">SUM(C151:C153)</f>
        <v>5021</v>
      </c>
      <c r="D150" s="542">
        <f t="shared" si="59"/>
        <v>0</v>
      </c>
      <c r="E150" s="542">
        <f>F150+G150</f>
        <v>1192.1685</v>
      </c>
      <c r="F150" s="542">
        <f t="shared" si="59"/>
        <v>1192.1685</v>
      </c>
      <c r="G150" s="542">
        <f t="shared" si="59"/>
        <v>0</v>
      </c>
    </row>
    <row r="151" s="1" customFormat="1" ht="21.75" customHeight="1" spans="1:7">
      <c r="A151" s="514" t="s">
        <v>187</v>
      </c>
      <c r="B151" s="543"/>
      <c r="C151" s="544">
        <v>696</v>
      </c>
      <c r="D151" s="545"/>
      <c r="E151" s="546"/>
      <c r="F151" s="544">
        <f>SUMIFS('项目支出总表（开）'!V:V,'项目支出总表（开）'!C:C,MID(TRIM(A151),2,7))+SUMIFS('基本支出总表（开）'!M:M,'基本支出总表（开）'!C:C,MID(TRIM(A151),2,7))</f>
        <v>645</v>
      </c>
      <c r="G151" s="547">
        <f>SUMIFS('项目支出总表（铁）'!U:U,'项目支出总表（铁）'!C:C,MID(TRIM(A151),2,7))+SUMIFS('基本支出总表（铁）'!M:M,'基本支出总表（铁）'!C:C,MID(TRIM(A151),2,7))</f>
        <v>0</v>
      </c>
    </row>
    <row r="152" s="1" customFormat="1" ht="21.75" customHeight="1" spans="1:7">
      <c r="A152" s="514" t="s">
        <v>188</v>
      </c>
      <c r="B152" s="543"/>
      <c r="C152" s="544">
        <v>295</v>
      </c>
      <c r="D152" s="545"/>
      <c r="E152" s="546"/>
      <c r="F152" s="544">
        <f>SUMIFS('项目支出总表（开）'!V:V,'项目支出总表（开）'!C:C,MID(TRIM(A152),2,7))+SUMIFS('基本支出总表（开）'!M:M,'基本支出总表（开）'!C:C,MID(TRIM(A152),2,7))</f>
        <v>204.17</v>
      </c>
      <c r="G152" s="547">
        <f>SUMIFS('项目支出总表（铁）'!U:U,'项目支出总表（铁）'!C:C,MID(TRIM(A152),2,7))+SUMIFS('基本支出总表（铁）'!M:M,'基本支出总表（铁）'!C:C,MID(TRIM(A152),2,7))</f>
        <v>0</v>
      </c>
    </row>
    <row r="153" s="1" customFormat="1" ht="21.75" customHeight="1" spans="1:7">
      <c r="A153" s="514" t="s">
        <v>189</v>
      </c>
      <c r="B153" s="543"/>
      <c r="C153" s="544">
        <v>4030</v>
      </c>
      <c r="D153" s="545"/>
      <c r="E153" s="546"/>
      <c r="F153" s="544">
        <f>SUMIFS('项目支出总表（开）'!V:V,'项目支出总表（开）'!C:C,MID(TRIM(A153),2,7))+SUMIFS('基本支出总表（开）'!M:M,'基本支出总表（开）'!C:C,MID(TRIM(A153),2,7))</f>
        <v>342.9985</v>
      </c>
      <c r="G153" s="547">
        <f>SUMIFS('项目支出总表（铁）'!U:U,'项目支出总表（铁）'!C:C,MID(TRIM(A153),2,7))+SUMIFS('基本支出总表（铁）'!M:M,'基本支出总表（铁）'!C:C,MID(TRIM(A153),2,7))</f>
        <v>0</v>
      </c>
    </row>
    <row r="154" s="1" customFormat="1" ht="21.75" customHeight="1" spans="1:7">
      <c r="A154" s="512" t="s">
        <v>190</v>
      </c>
      <c r="B154" s="542">
        <f>C154+D154</f>
        <v>488.320816</v>
      </c>
      <c r="C154" s="542">
        <f t="shared" ref="C154:G154" si="60">SUM(C155:C159)</f>
        <v>488.320816</v>
      </c>
      <c r="D154" s="542">
        <f t="shared" si="60"/>
        <v>0</v>
      </c>
      <c r="E154" s="542">
        <f>F154+G154</f>
        <v>821.973122</v>
      </c>
      <c r="F154" s="542">
        <f t="shared" si="60"/>
        <v>821.973122</v>
      </c>
      <c r="G154" s="542">
        <f t="shared" si="60"/>
        <v>0</v>
      </c>
    </row>
    <row r="155" s="1" customFormat="1" ht="21.75" customHeight="1" spans="1:7">
      <c r="A155" s="514" t="s">
        <v>191</v>
      </c>
      <c r="B155" s="543"/>
      <c r="C155" s="544">
        <v>27.320816</v>
      </c>
      <c r="D155" s="545"/>
      <c r="E155" s="546"/>
      <c r="F155" s="544">
        <f>SUMIFS('项目支出总表（开）'!V:V,'项目支出总表（开）'!C:C,MID(TRIM(A155),2,7))+SUMIFS('基本支出总表（开）'!M:M,'基本支出总表（开）'!C:C,MID(TRIM(A155),2,7))</f>
        <v>27.320816</v>
      </c>
      <c r="G155" s="547">
        <f>SUMIFS('项目支出总表（铁）'!U:U,'项目支出总表（铁）'!C:C,MID(TRIM(A155),2,7))+SUMIFS('基本支出总表（铁）'!M:M,'基本支出总表（铁）'!C:C,MID(TRIM(A155),2,7))</f>
        <v>0</v>
      </c>
    </row>
    <row r="156" s="1" customFormat="1" ht="21.75" customHeight="1" spans="1:7">
      <c r="A156" s="514" t="s">
        <v>192</v>
      </c>
      <c r="B156" s="543"/>
      <c r="C156" s="544">
        <v>17</v>
      </c>
      <c r="D156" s="545"/>
      <c r="E156" s="546"/>
      <c r="F156" s="544">
        <f>SUMIFS('项目支出总表（开）'!V:V,'项目支出总表（开）'!C:C,MID(TRIM(A156),2,7))+SUMIFS('基本支出总表（开）'!M:M,'基本支出总表（开）'!C:C,MID(TRIM(A156),2,7))</f>
        <v>17.5</v>
      </c>
      <c r="G156" s="547">
        <f>SUMIFS('项目支出总表（铁）'!U:U,'项目支出总表（铁）'!C:C,MID(TRIM(A156),2,7))+SUMIFS('基本支出总表（铁）'!M:M,'基本支出总表（铁）'!C:C,MID(TRIM(A156),2,7))</f>
        <v>0</v>
      </c>
    </row>
    <row r="157" s="1" customFormat="1" ht="21.75" customHeight="1" spans="1:7">
      <c r="A157" s="516" t="s">
        <v>193</v>
      </c>
      <c r="B157" s="548"/>
      <c r="C157" s="544"/>
      <c r="D157" s="545"/>
      <c r="E157" s="549"/>
      <c r="F157" s="544">
        <f>SUMIFS('项目支出总表（开）'!V:V,'项目支出总表（开）'!C:C,MID(TRIM(A157),2,7))+SUMIFS('基本支出总表（开）'!M:M,'基本支出总表（开）'!C:C,MID(TRIM(A157),2,7))</f>
        <v>147.3637</v>
      </c>
      <c r="G157" s="547">
        <f>SUMIFS('项目支出总表（铁）'!U:U,'项目支出总表（铁）'!C:C,MID(TRIM(A157),2,7))+SUMIFS('基本支出总表（铁）'!M:M,'基本支出总表（铁）'!C:C,MID(TRIM(A157),2,7))</f>
        <v>0</v>
      </c>
    </row>
    <row r="158" s="1" customFormat="1" ht="21.75" customHeight="1" spans="1:7">
      <c r="A158" s="514" t="s">
        <v>194</v>
      </c>
      <c r="B158" s="543"/>
      <c r="C158" s="544">
        <v>185.7</v>
      </c>
      <c r="D158" s="545"/>
      <c r="E158" s="546"/>
      <c r="F158" s="544">
        <f>SUMIFS('项目支出总表（开）'!V:V,'项目支出总表（开）'!C:C,MID(TRIM(A158),2,7))+SUMIFS('基本支出总表（开）'!M:M,'基本支出总表（开）'!C:C,MID(TRIM(A158),2,7))</f>
        <v>183.3</v>
      </c>
      <c r="G158" s="547">
        <f>SUMIFS('项目支出总表（铁）'!U:U,'项目支出总表（铁）'!C:C,MID(TRIM(A158),2,7))+SUMIFS('基本支出总表（铁）'!M:M,'基本支出总表（铁）'!C:C,MID(TRIM(A158),2,7))</f>
        <v>0</v>
      </c>
    </row>
    <row r="159" s="1" customFormat="1" ht="21.75" customHeight="1" spans="1:7">
      <c r="A159" s="514" t="s">
        <v>195</v>
      </c>
      <c r="B159" s="543"/>
      <c r="C159" s="544">
        <v>258.3</v>
      </c>
      <c r="D159" s="545"/>
      <c r="E159" s="546"/>
      <c r="F159" s="544">
        <f>SUMIFS('项目支出总表（开）'!V:V,'项目支出总表（开）'!C:C,MID(TRIM(A159),2,7))+SUMIFS('基本支出总表（开）'!M:M,'基本支出总表（开）'!C:C,MID(TRIM(A159),2,7))</f>
        <v>446.488606</v>
      </c>
      <c r="G159" s="547">
        <f>SUMIFS('项目支出总表（铁）'!U:U,'项目支出总表（铁）'!C:C,MID(TRIM(A159),2,7))+SUMIFS('基本支出总表（铁）'!M:M,'基本支出总表（铁）'!C:C,MID(TRIM(A159),2,7))</f>
        <v>0</v>
      </c>
    </row>
    <row r="160" s="1" customFormat="1" ht="21.75" customHeight="1" spans="1:7">
      <c r="A160" s="512" t="s">
        <v>196</v>
      </c>
      <c r="B160" s="542">
        <f t="shared" ref="B160:B164" si="61">C160+D160</f>
        <v>803.6</v>
      </c>
      <c r="C160" s="542">
        <f t="shared" ref="C160:G160" si="62">SUM(C161)</f>
        <v>803.6</v>
      </c>
      <c r="D160" s="542">
        <f t="shared" si="62"/>
        <v>0</v>
      </c>
      <c r="E160" s="542">
        <f t="shared" ref="E160:E164" si="63">F160+G160</f>
        <v>4038.6015</v>
      </c>
      <c r="F160" s="542">
        <f t="shared" si="62"/>
        <v>4038.6015</v>
      </c>
      <c r="G160" s="542">
        <f t="shared" si="62"/>
        <v>0</v>
      </c>
    </row>
    <row r="161" s="1" customFormat="1" ht="21.75" customHeight="1" spans="1:7">
      <c r="A161" s="514" t="s">
        <v>197</v>
      </c>
      <c r="B161" s="543"/>
      <c r="C161" s="544">
        <v>803.6</v>
      </c>
      <c r="D161" s="545"/>
      <c r="E161" s="546"/>
      <c r="F161" s="544">
        <f>SUMIFS('项目支出总表（开）'!V:V,'项目支出总表（开）'!C:C,MID(TRIM(A161),2,7))+SUMIFS('基本支出总表（开）'!M:M,'基本支出总表（开）'!C:C,MID(TRIM(A161),2,7))</f>
        <v>4038.6015</v>
      </c>
      <c r="G161" s="547">
        <f>SUMIFS('项目支出总表（铁）'!U:U,'项目支出总表（铁）'!C:C,MID(TRIM(A161),2,7))+SUMIFS('基本支出总表（铁）'!M:M,'基本支出总表（铁）'!C:C,MID(TRIM(A161),2,7))</f>
        <v>0</v>
      </c>
    </row>
    <row r="162" s="1" customFormat="1" ht="21.75" customHeight="1" spans="1:7">
      <c r="A162" s="512" t="s">
        <v>198</v>
      </c>
      <c r="B162" s="542">
        <f t="shared" si="61"/>
        <v>15</v>
      </c>
      <c r="C162" s="542">
        <f t="shared" ref="C162:G162" si="64">SUM(C163)</f>
        <v>15</v>
      </c>
      <c r="D162" s="542">
        <f t="shared" si="64"/>
        <v>0</v>
      </c>
      <c r="E162" s="542">
        <f t="shared" si="63"/>
        <v>5.5</v>
      </c>
      <c r="F162" s="542">
        <f t="shared" si="64"/>
        <v>5.5</v>
      </c>
      <c r="G162" s="542">
        <f t="shared" si="64"/>
        <v>0</v>
      </c>
    </row>
    <row r="163" s="1" customFormat="1" ht="21.75" customHeight="1" spans="1:7">
      <c r="A163" s="514" t="s">
        <v>199</v>
      </c>
      <c r="B163" s="543"/>
      <c r="C163" s="544">
        <v>15</v>
      </c>
      <c r="D163" s="545"/>
      <c r="E163" s="546"/>
      <c r="F163" s="544">
        <f>SUMIFS('项目支出总表（开）'!V:V,'项目支出总表（开）'!C:C,MID(TRIM(A163),2,7))+SUMIFS('基本支出总表（开）'!M:M,'基本支出总表（开）'!C:C,MID(TRIM(A163),2,7))</f>
        <v>5.5</v>
      </c>
      <c r="G163" s="547">
        <f>SUMIFS('项目支出总表（铁）'!U:U,'项目支出总表（铁）'!C:C,MID(TRIM(A163),2,7))+SUMIFS('基本支出总表（铁）'!M:M,'基本支出总表（铁）'!C:C,MID(TRIM(A163),2,7))</f>
        <v>0</v>
      </c>
    </row>
    <row r="164" s="1" customFormat="1" ht="21.75" customHeight="1" spans="1:7">
      <c r="A164" s="512" t="s">
        <v>200</v>
      </c>
      <c r="B164" s="542">
        <f t="shared" si="61"/>
        <v>933.19</v>
      </c>
      <c r="C164" s="542">
        <f t="shared" ref="C164:G164" si="65">SUM(C165)</f>
        <v>830</v>
      </c>
      <c r="D164" s="542">
        <f t="shared" si="65"/>
        <v>103.19</v>
      </c>
      <c r="E164" s="542">
        <f t="shared" si="63"/>
        <v>1132.6943</v>
      </c>
      <c r="F164" s="542">
        <f t="shared" si="65"/>
        <v>1025.1943</v>
      </c>
      <c r="G164" s="542">
        <f t="shared" si="65"/>
        <v>107.5</v>
      </c>
    </row>
    <row r="165" s="1" customFormat="1" ht="21.75" customHeight="1" spans="1:7">
      <c r="A165" s="514" t="s">
        <v>201</v>
      </c>
      <c r="B165" s="543"/>
      <c r="C165" s="544">
        <v>830</v>
      </c>
      <c r="D165" s="545">
        <v>103.19</v>
      </c>
      <c r="E165" s="546"/>
      <c r="F165" s="544">
        <f>SUMIFS('项目支出总表（开）'!V:V,'项目支出总表（开）'!C:C,MID(TRIM(A165),2,7))+SUMIFS('基本支出总表（开）'!M:M,'基本支出总表（开）'!C:C,MID(TRIM(A165),2,7))</f>
        <v>1025.1943</v>
      </c>
      <c r="G165" s="547">
        <f>SUMIFS('项目支出总表（铁）'!U:U,'项目支出总表（铁）'!C:C,MID(TRIM(A165),2,7))+SUMIFS('基本支出总表（铁）'!M:M,'基本支出总表（铁）'!C:C,MID(TRIM(A165),2,7))</f>
        <v>107.5</v>
      </c>
    </row>
    <row r="166" s="1" customFormat="1" ht="21.75" customHeight="1" spans="1:7">
      <c r="A166" s="512" t="s">
        <v>202</v>
      </c>
      <c r="B166" s="542">
        <f>C166+D166</f>
        <v>228.207637</v>
      </c>
      <c r="C166" s="542">
        <f t="shared" ref="C166:G166" si="66">SUM(C167:C170)</f>
        <v>228.207637</v>
      </c>
      <c r="D166" s="542">
        <f t="shared" si="66"/>
        <v>0</v>
      </c>
      <c r="E166" s="542">
        <f>F166+G166</f>
        <v>338.207637</v>
      </c>
      <c r="F166" s="542">
        <f t="shared" si="66"/>
        <v>338.207637</v>
      </c>
      <c r="G166" s="542">
        <f t="shared" si="66"/>
        <v>0</v>
      </c>
    </row>
    <row r="167" s="1" customFormat="1" ht="21.75" customHeight="1" spans="1:7">
      <c r="A167" s="514" t="s">
        <v>203</v>
      </c>
      <c r="B167" s="543"/>
      <c r="C167" s="544">
        <v>141.207637</v>
      </c>
      <c r="D167" s="545"/>
      <c r="E167" s="546"/>
      <c r="F167" s="544">
        <f>SUMIFS('项目支出总表（开）'!V:V,'项目支出总表（开）'!C:C,MID(TRIM(A167),2,7))+SUMIFS('基本支出总表（开）'!M:M,'基本支出总表（开）'!C:C,MID(TRIM(A167),2,7))</f>
        <v>192.207637</v>
      </c>
      <c r="G167" s="547">
        <f>SUMIFS('项目支出总表（铁）'!U:U,'项目支出总表（铁）'!C:C,MID(TRIM(A167),2,7))+SUMIFS('基本支出总表（铁）'!M:M,'基本支出总表（铁）'!C:C,MID(TRIM(A167),2,7))</f>
        <v>0</v>
      </c>
    </row>
    <row r="168" s="1" customFormat="1" ht="21.75" customHeight="1" spans="1:7">
      <c r="A168" s="514" t="s">
        <v>204</v>
      </c>
      <c r="B168" s="543"/>
      <c r="C168" s="544">
        <v>27</v>
      </c>
      <c r="D168" s="545"/>
      <c r="E168" s="546"/>
      <c r="F168" s="544">
        <f>SUMIFS('项目支出总表（开）'!V:V,'项目支出总表（开）'!C:C,MID(TRIM(A168),2,7))+SUMIFS('基本支出总表（开）'!M:M,'基本支出总表（开）'!C:C,MID(TRIM(A168),2,7))</f>
        <v>28</v>
      </c>
      <c r="G168" s="547">
        <f>SUMIFS('项目支出总表（铁）'!U:U,'项目支出总表（铁）'!C:C,MID(TRIM(A168),2,7))+SUMIFS('基本支出总表（铁）'!M:M,'基本支出总表（铁）'!C:C,MID(TRIM(A168),2,7))</f>
        <v>0</v>
      </c>
    </row>
    <row r="169" s="1" customFormat="1" ht="21.75" customHeight="1" spans="1:7">
      <c r="A169" s="514" t="s">
        <v>205</v>
      </c>
      <c r="B169" s="543"/>
      <c r="C169" s="544">
        <v>60</v>
      </c>
      <c r="D169" s="545"/>
      <c r="E169" s="546"/>
      <c r="F169" s="544">
        <f>SUMIFS('项目支出总表（开）'!V:V,'项目支出总表（开）'!C:C,MID(TRIM(A169),2,7))+SUMIFS('基本支出总表（开）'!M:M,'基本支出总表（开）'!C:C,MID(TRIM(A169),2,7))</f>
        <v>95</v>
      </c>
      <c r="G169" s="547">
        <f>SUMIFS('项目支出总表（铁）'!U:U,'项目支出总表（铁）'!C:C,MID(TRIM(A169),2,7))+SUMIFS('基本支出总表（铁）'!M:M,'基本支出总表（铁）'!C:C,MID(TRIM(A169),2,7))</f>
        <v>0</v>
      </c>
    </row>
    <row r="170" s="1" customFormat="1" ht="21.75" customHeight="1" spans="1:7">
      <c r="A170" s="516" t="s">
        <v>206</v>
      </c>
      <c r="B170" s="548"/>
      <c r="C170" s="544"/>
      <c r="D170" s="545"/>
      <c r="E170" s="549"/>
      <c r="F170" s="544">
        <f>SUMIFS('项目支出总表（开）'!V:V,'项目支出总表（开）'!C:C,MID(TRIM(A170),2,7))+SUMIFS('基本支出总表（开）'!M:M,'基本支出总表（开）'!C:C,MID(TRIM(A170),2,7))</f>
        <v>23</v>
      </c>
      <c r="G170" s="547">
        <f>SUMIFS('项目支出总表（铁）'!U:U,'项目支出总表（铁）'!C:C,MID(TRIM(A170),2,7))+SUMIFS('基本支出总表（铁）'!M:M,'基本支出总表（铁）'!C:C,MID(TRIM(A170),2,7))</f>
        <v>0</v>
      </c>
    </row>
    <row r="171" s="1" customFormat="1" ht="21.75" customHeight="1" spans="1:7">
      <c r="A171" s="512" t="s">
        <v>207</v>
      </c>
      <c r="B171" s="542">
        <f t="shared" ref="B171:B176" si="67">C171+D171</f>
        <v>56</v>
      </c>
      <c r="C171" s="542">
        <f t="shared" ref="C171:G171" si="68">SUM(C172)</f>
        <v>56</v>
      </c>
      <c r="D171" s="542">
        <f t="shared" si="68"/>
        <v>0</v>
      </c>
      <c r="E171" s="542">
        <f t="shared" ref="E171:E176" si="69">F171+G171</f>
        <v>56</v>
      </c>
      <c r="F171" s="542">
        <f t="shared" si="68"/>
        <v>56</v>
      </c>
      <c r="G171" s="542">
        <f t="shared" si="68"/>
        <v>0</v>
      </c>
    </row>
    <row r="172" s="1" customFormat="1" ht="21.75" customHeight="1" spans="1:7">
      <c r="A172" s="514" t="s">
        <v>208</v>
      </c>
      <c r="B172" s="543"/>
      <c r="C172" s="544">
        <v>56</v>
      </c>
      <c r="D172" s="545"/>
      <c r="E172" s="546"/>
      <c r="F172" s="544">
        <f>SUMIFS('项目支出总表（开）'!V:V,'项目支出总表（开）'!C:C,MID(TRIM(A172),2,7))+SUMIFS('基本支出总表（开）'!M:M,'基本支出总表（开）'!C:C,MID(TRIM(A172),2,7))</f>
        <v>56</v>
      </c>
      <c r="G172" s="547">
        <f>SUMIFS('项目支出总表（铁）'!U:U,'项目支出总表（铁）'!C:C,MID(TRIM(A172),2,7))+SUMIFS('基本支出总表（铁）'!M:M,'基本支出总表（铁）'!C:C,MID(TRIM(A172),2,7))</f>
        <v>0</v>
      </c>
    </row>
    <row r="173" s="1" customFormat="1" ht="21.75" customHeight="1" spans="1:7">
      <c r="A173" s="517" t="s">
        <v>209</v>
      </c>
      <c r="B173" s="542">
        <f t="shared" si="67"/>
        <v>0</v>
      </c>
      <c r="C173" s="542">
        <f t="shared" ref="C173:G173" si="70">SUM(C174)</f>
        <v>0</v>
      </c>
      <c r="D173" s="542">
        <f t="shared" si="70"/>
        <v>0</v>
      </c>
      <c r="E173" s="542">
        <f t="shared" si="69"/>
        <v>45</v>
      </c>
      <c r="F173" s="542">
        <f t="shared" si="70"/>
        <v>45</v>
      </c>
      <c r="G173" s="542">
        <f t="shared" si="70"/>
        <v>0</v>
      </c>
    </row>
    <row r="174" s="1" customFormat="1" ht="21.75" customHeight="1" spans="1:7">
      <c r="A174" s="516" t="s">
        <v>210</v>
      </c>
      <c r="B174" s="548"/>
      <c r="C174" s="544"/>
      <c r="D174" s="545"/>
      <c r="E174" s="549"/>
      <c r="F174" s="544">
        <f>SUMIFS('项目支出总表（开）'!V:V,'项目支出总表（开）'!C:C,MID(TRIM(A174),2,7))+SUMIFS('基本支出总表（开）'!M:M,'基本支出总表（开）'!C:C,MID(TRIM(A174),2,7))</f>
        <v>45</v>
      </c>
      <c r="G174" s="547">
        <f>SUMIFS('项目支出总表（铁）'!U:U,'项目支出总表（铁）'!C:C,MID(TRIM(A174),2,7))+SUMIFS('基本支出总表（铁）'!M:M,'基本支出总表（铁）'!C:C,MID(TRIM(A174),2,7))</f>
        <v>0</v>
      </c>
    </row>
    <row r="175" s="1" customFormat="1" ht="21.75" customHeight="1" spans="1:7">
      <c r="A175" s="510" t="s">
        <v>211</v>
      </c>
      <c r="B175" s="540">
        <f t="shared" si="67"/>
        <v>9215.063211</v>
      </c>
      <c r="C175" s="541">
        <f t="shared" ref="C175:G175" si="71">C176+C180+C184+C189+C192+C194+C197+C199+C204</f>
        <v>8790.016165</v>
      </c>
      <c r="D175" s="541">
        <f t="shared" si="71"/>
        <v>425.047046</v>
      </c>
      <c r="E175" s="541">
        <f t="shared" si="69"/>
        <v>8859.420113</v>
      </c>
      <c r="F175" s="541">
        <f t="shared" si="71"/>
        <v>7777.373067</v>
      </c>
      <c r="G175" s="541">
        <f t="shared" si="71"/>
        <v>1082.047046</v>
      </c>
    </row>
    <row r="176" s="1" customFormat="1" ht="21.75" customHeight="1" spans="1:7">
      <c r="A176" s="512" t="s">
        <v>212</v>
      </c>
      <c r="B176" s="542">
        <f t="shared" si="67"/>
        <v>550.598754</v>
      </c>
      <c r="C176" s="542">
        <f t="shared" ref="C176:G176" si="72">SUM(C177:C179)</f>
        <v>550.598754</v>
      </c>
      <c r="D176" s="542">
        <f t="shared" si="72"/>
        <v>0</v>
      </c>
      <c r="E176" s="542">
        <f t="shared" si="69"/>
        <v>631.748754</v>
      </c>
      <c r="F176" s="542">
        <f t="shared" si="72"/>
        <v>631.748754</v>
      </c>
      <c r="G176" s="542">
        <f t="shared" si="72"/>
        <v>0</v>
      </c>
    </row>
    <row r="177" s="1" customFormat="1" ht="21.75" customHeight="1" spans="1:7">
      <c r="A177" s="514" t="s">
        <v>213</v>
      </c>
      <c r="B177" s="543"/>
      <c r="C177" s="544">
        <v>271.958754</v>
      </c>
      <c r="D177" s="545"/>
      <c r="E177" s="546"/>
      <c r="F177" s="544">
        <f>SUMIFS('项目支出总表（开）'!V:V,'项目支出总表（开）'!C:C,MID(TRIM(A177),2,7))+SUMIFS('基本支出总表（开）'!M:M,'基本支出总表（开）'!C:C,MID(TRIM(A177),2,7))</f>
        <v>321.958754</v>
      </c>
      <c r="G177" s="547">
        <f>SUMIFS('项目支出总表（铁）'!U:U,'项目支出总表（铁）'!C:C,MID(TRIM(A177),2,7))+SUMIFS('基本支出总表（铁）'!M:M,'基本支出总表（铁）'!C:C,MID(TRIM(A177),2,7))</f>
        <v>0</v>
      </c>
    </row>
    <row r="178" s="1" customFormat="1" ht="21.75" customHeight="1" spans="1:7">
      <c r="A178" s="514" t="s">
        <v>214</v>
      </c>
      <c r="B178" s="543"/>
      <c r="C178" s="544">
        <v>144</v>
      </c>
      <c r="D178" s="545"/>
      <c r="E178" s="546"/>
      <c r="F178" s="544">
        <f>SUMIFS('项目支出总表（开）'!V:V,'项目支出总表（开）'!C:C,MID(TRIM(A178),2,7))+SUMIFS('基本支出总表（开）'!M:M,'基本支出总表（开）'!C:C,MID(TRIM(A178),2,7))</f>
        <v>180.1</v>
      </c>
      <c r="G178" s="547">
        <f>SUMIFS('项目支出总表（铁）'!U:U,'项目支出总表（铁）'!C:C,MID(TRIM(A178),2,7))+SUMIFS('基本支出总表（铁）'!M:M,'基本支出总表（铁）'!C:C,MID(TRIM(A178),2,7))</f>
        <v>0</v>
      </c>
    </row>
    <row r="179" s="1" customFormat="1" ht="21.75" customHeight="1" spans="1:7">
      <c r="A179" s="514" t="s">
        <v>215</v>
      </c>
      <c r="B179" s="543"/>
      <c r="C179" s="544">
        <v>134.64</v>
      </c>
      <c r="D179" s="545"/>
      <c r="E179" s="546"/>
      <c r="F179" s="544">
        <f>SUMIFS('项目支出总表（开）'!V:V,'项目支出总表（开）'!C:C,MID(TRIM(A179),2,7))+SUMIFS('基本支出总表（开）'!M:M,'基本支出总表（开）'!C:C,MID(TRIM(A179),2,7))</f>
        <v>129.69</v>
      </c>
      <c r="G179" s="547">
        <f>SUMIFS('项目支出总表（铁）'!U:U,'项目支出总表（铁）'!C:C,MID(TRIM(A179),2,7))+SUMIFS('基本支出总表（铁）'!M:M,'基本支出总表（铁）'!C:C,MID(TRIM(A179),2,7))</f>
        <v>0</v>
      </c>
    </row>
    <row r="180" s="1" customFormat="1" ht="21.75" customHeight="1" spans="1:7">
      <c r="A180" s="512" t="s">
        <v>216</v>
      </c>
      <c r="B180" s="542">
        <f>C180+D180</f>
        <v>2159.774866</v>
      </c>
      <c r="C180" s="542">
        <f t="shared" ref="C180:G180" si="73">SUM(C181:C183)</f>
        <v>1734.72782</v>
      </c>
      <c r="D180" s="542">
        <f t="shared" si="73"/>
        <v>425.047046</v>
      </c>
      <c r="E180" s="542">
        <f>F180+G180</f>
        <v>2532.522312</v>
      </c>
      <c r="F180" s="542">
        <f t="shared" si="73"/>
        <v>1994.81782</v>
      </c>
      <c r="G180" s="542">
        <f t="shared" si="73"/>
        <v>537.704492</v>
      </c>
    </row>
    <row r="181" s="1" customFormat="1" ht="21.75" customHeight="1" spans="1:7">
      <c r="A181" s="514" t="s">
        <v>217</v>
      </c>
      <c r="B181" s="543"/>
      <c r="C181" s="544"/>
      <c r="D181" s="545">
        <v>425.047046</v>
      </c>
      <c r="E181" s="546"/>
      <c r="F181" s="544">
        <f>SUMIFS('项目支出总表（开）'!V:V,'项目支出总表（开）'!C:C,MID(TRIM(A181),2,7))+SUMIFS('基本支出总表（开）'!M:M,'基本支出总表（开）'!C:C,MID(TRIM(A181),2,7))</f>
        <v>0</v>
      </c>
      <c r="G181" s="547">
        <f>SUMIFS('项目支出总表（铁）'!U:U,'项目支出总表（铁）'!C:C,MID(TRIM(A181),2,7))+SUMIFS('基本支出总表（铁）'!M:M,'基本支出总表（铁）'!C:C,MID(TRIM(A181),2,7))</f>
        <v>537.704492</v>
      </c>
    </row>
    <row r="182" s="1" customFormat="1" ht="21.75" customHeight="1" spans="1:7">
      <c r="A182" s="514" t="s">
        <v>218</v>
      </c>
      <c r="B182" s="543"/>
      <c r="C182" s="544">
        <v>1473.72782</v>
      </c>
      <c r="D182" s="545"/>
      <c r="E182" s="546"/>
      <c r="F182" s="544">
        <f>SUMIFS('项目支出总表（开）'!V:V,'项目支出总表（开）'!C:C,MID(TRIM(A182),2,7))+SUMIFS('基本支出总表（开）'!M:M,'基本支出总表（开）'!C:C,MID(TRIM(A182),2,7))</f>
        <v>1650.12782</v>
      </c>
      <c r="G182" s="547">
        <f>SUMIFS('项目支出总表（铁）'!U:U,'项目支出总表（铁）'!C:C,MID(TRIM(A182),2,7))+SUMIFS('基本支出总表（铁）'!M:M,'基本支出总表（铁）'!C:C,MID(TRIM(A182),2,7))</f>
        <v>0</v>
      </c>
    </row>
    <row r="183" s="1" customFormat="1" ht="21.75" customHeight="1" spans="1:7">
      <c r="A183" s="514" t="s">
        <v>219</v>
      </c>
      <c r="B183" s="543"/>
      <c r="C183" s="544">
        <v>261</v>
      </c>
      <c r="D183" s="545"/>
      <c r="E183" s="546"/>
      <c r="F183" s="544">
        <f>SUMIFS('项目支出总表（开）'!V:V,'项目支出总表（开）'!C:C,MID(TRIM(A183),2,7))+SUMIFS('基本支出总表（开）'!M:M,'基本支出总表（开）'!C:C,MID(TRIM(A183),2,7))</f>
        <v>344.69</v>
      </c>
      <c r="G183" s="547">
        <f>SUMIFS('项目支出总表（铁）'!U:U,'项目支出总表（铁）'!C:C,MID(TRIM(A183),2,7))+SUMIFS('基本支出总表（铁）'!M:M,'基本支出总表（铁）'!C:C,MID(TRIM(A183),2,7))</f>
        <v>0</v>
      </c>
    </row>
    <row r="184" s="1" customFormat="1" ht="21.75" customHeight="1" spans="1:7">
      <c r="A184" s="512" t="s">
        <v>220</v>
      </c>
      <c r="B184" s="542">
        <f>C184+D184</f>
        <v>2310.876796</v>
      </c>
      <c r="C184" s="542">
        <f t="shared" ref="C184:G184" si="74">SUM(C185:C188)</f>
        <v>2310.876796</v>
      </c>
      <c r="D184" s="542">
        <f t="shared" si="74"/>
        <v>0</v>
      </c>
      <c r="E184" s="542">
        <f>F184+G184</f>
        <v>2193.949796</v>
      </c>
      <c r="F184" s="542">
        <f t="shared" si="74"/>
        <v>1649.949796</v>
      </c>
      <c r="G184" s="542">
        <f t="shared" si="74"/>
        <v>544</v>
      </c>
    </row>
    <row r="185" s="1" customFormat="1" ht="21.75" customHeight="1" spans="1:7">
      <c r="A185" s="514" t="s">
        <v>221</v>
      </c>
      <c r="B185" s="543"/>
      <c r="C185" s="544">
        <v>533.12</v>
      </c>
      <c r="D185" s="545">
        <f>VLOOKUP(A185,'02-2功能项级分类（铁）'!$A$6:$B$82,2,0)</f>
        <v>0</v>
      </c>
      <c r="E185" s="546"/>
      <c r="F185" s="544">
        <f>SUMIFS('项目支出总表（开）'!V:V,'项目支出总表（开）'!C:C,MID(TRIM(A185),2,7))+SUMIFS('基本支出总表（开）'!M:M,'基本支出总表（开）'!C:C,MID(TRIM(A185),2,7))</f>
        <v>376.853</v>
      </c>
      <c r="G185" s="547">
        <f>SUMIFS('项目支出总表（铁）'!U:U,'项目支出总表（铁）'!C:C,MID(TRIM(A185),2,7))+SUMIFS('基本支出总表（铁）'!M:M,'基本支出总表（铁）'!C:C,MID(TRIM(A185),2,7))</f>
        <v>444</v>
      </c>
    </row>
    <row r="186" s="1" customFormat="1" ht="21.75" customHeight="1" spans="1:7">
      <c r="A186" s="514" t="s">
        <v>222</v>
      </c>
      <c r="B186" s="543"/>
      <c r="C186" s="544">
        <v>42.39</v>
      </c>
      <c r="D186" s="545"/>
      <c r="E186" s="546"/>
      <c r="F186" s="544">
        <f>SUMIFS('项目支出总表（开）'!V:V,'项目支出总表（开）'!C:C,MID(TRIM(A186),2,7))+SUMIFS('基本支出总表（开）'!M:M,'基本支出总表（开）'!C:C,MID(TRIM(A186),2,7))</f>
        <v>42.73</v>
      </c>
      <c r="G186" s="547">
        <f>SUMIFS('项目支出总表（铁）'!U:U,'项目支出总表（铁）'!C:C,MID(TRIM(A186),2,7))+SUMIFS('基本支出总表（铁）'!M:M,'基本支出总表（铁）'!C:C,MID(TRIM(A186),2,7))</f>
        <v>0</v>
      </c>
    </row>
    <row r="187" s="1" customFormat="1" ht="21.75" customHeight="1" spans="1:7">
      <c r="A187" s="514" t="s">
        <v>223</v>
      </c>
      <c r="B187" s="543"/>
      <c r="C187" s="544">
        <v>1600</v>
      </c>
      <c r="D187" s="545">
        <f>VLOOKUP(A187,'02-2功能项级分类（铁）'!$A$6:$B$82,2,0)</f>
        <v>0</v>
      </c>
      <c r="E187" s="546"/>
      <c r="F187" s="544">
        <f>SUMIFS('项目支出总表（开）'!V:V,'项目支出总表（开）'!C:C,MID(TRIM(A187),2,7))+SUMIFS('基本支出总表（开）'!M:M,'基本支出总表（开）'!C:C,MID(TRIM(A187),2,7))</f>
        <v>1100</v>
      </c>
      <c r="G187" s="547">
        <f>SUMIFS('项目支出总表（铁）'!U:U,'项目支出总表（铁）'!C:C,MID(TRIM(A187),2,7))+SUMIFS('基本支出总表（铁）'!M:M,'基本支出总表（铁）'!C:C,MID(TRIM(A187),2,7))</f>
        <v>100</v>
      </c>
    </row>
    <row r="188" s="1" customFormat="1" ht="21.75" customHeight="1" spans="1:7">
      <c r="A188" s="514" t="s">
        <v>224</v>
      </c>
      <c r="B188" s="543"/>
      <c r="C188" s="544">
        <v>135.366796</v>
      </c>
      <c r="D188" s="545"/>
      <c r="E188" s="546"/>
      <c r="F188" s="544">
        <f>SUMIFS('项目支出总表（开）'!V:V,'项目支出总表（开）'!C:C,MID(TRIM(A188),2,7))+SUMIFS('基本支出总表（开）'!M:M,'基本支出总表（开）'!C:C,MID(TRIM(A188),2,7))</f>
        <v>130.366796</v>
      </c>
      <c r="G188" s="547">
        <f>SUMIFS('项目支出总表（铁）'!U:U,'项目支出总表（铁）'!C:C,MID(TRIM(A188),2,7))+SUMIFS('基本支出总表（铁）'!M:M,'基本支出总表（铁）'!C:C,MID(TRIM(A188),2,7))</f>
        <v>0</v>
      </c>
    </row>
    <row r="189" s="1" customFormat="1" ht="21.75" customHeight="1" spans="1:7">
      <c r="A189" s="512" t="s">
        <v>225</v>
      </c>
      <c r="B189" s="542">
        <f t="shared" ref="B189:B194" si="75">C189+D189</f>
        <v>430</v>
      </c>
      <c r="C189" s="542">
        <f t="shared" ref="C189:G189" si="76">SUM(C190:C191)</f>
        <v>430</v>
      </c>
      <c r="D189" s="542">
        <f t="shared" si="76"/>
        <v>0</v>
      </c>
      <c r="E189" s="542">
        <f t="shared" ref="E189:E194" si="77">F189+G189</f>
        <v>445.45</v>
      </c>
      <c r="F189" s="542">
        <f t="shared" si="76"/>
        <v>445.45</v>
      </c>
      <c r="G189" s="542">
        <f t="shared" si="76"/>
        <v>0</v>
      </c>
    </row>
    <row r="190" s="1" customFormat="1" ht="21.75" customHeight="1" spans="1:7">
      <c r="A190" s="514" t="s">
        <v>226</v>
      </c>
      <c r="B190" s="543"/>
      <c r="C190" s="544">
        <v>300</v>
      </c>
      <c r="D190" s="545"/>
      <c r="E190" s="546"/>
      <c r="F190" s="544">
        <f>SUMIFS('项目支出总表（开）'!V:V,'项目支出总表（开）'!C:C,MID(TRIM(A190),2,7))+SUMIFS('基本支出总表（开）'!M:M,'基本支出总表（开）'!C:C,MID(TRIM(A190),2,7))</f>
        <v>444.45</v>
      </c>
      <c r="G190" s="547">
        <f>SUMIFS('项目支出总表（铁）'!U:U,'项目支出总表（铁）'!C:C,MID(TRIM(A190),2,7))+SUMIFS('基本支出总表（铁）'!M:M,'基本支出总表（铁）'!C:C,MID(TRIM(A190),2,7))</f>
        <v>0</v>
      </c>
    </row>
    <row r="191" s="1" customFormat="1" ht="21.75" customHeight="1" spans="1:7">
      <c r="A191" s="514" t="s">
        <v>227</v>
      </c>
      <c r="B191" s="543"/>
      <c r="C191" s="544">
        <v>130</v>
      </c>
      <c r="D191" s="545"/>
      <c r="E191" s="546"/>
      <c r="F191" s="544">
        <f>SUMIFS('项目支出总表（开）'!V:V,'项目支出总表（开）'!C:C,MID(TRIM(A191),2,7))+SUMIFS('基本支出总表（开）'!M:M,'基本支出总表（开）'!C:C,MID(TRIM(A191),2,7))</f>
        <v>1</v>
      </c>
      <c r="G191" s="547">
        <f>SUMIFS('项目支出总表（铁）'!U:U,'项目支出总表（铁）'!C:C,MID(TRIM(A191),2,7))+SUMIFS('基本支出总表（铁）'!M:M,'基本支出总表（铁）'!C:C,MID(TRIM(A191),2,7))</f>
        <v>0</v>
      </c>
    </row>
    <row r="192" s="1" customFormat="1" ht="21.75" customHeight="1" spans="1:7">
      <c r="A192" s="512" t="s">
        <v>228</v>
      </c>
      <c r="B192" s="542">
        <f t="shared" si="75"/>
        <v>1903</v>
      </c>
      <c r="C192" s="542">
        <f t="shared" ref="C192:G192" si="78">SUM(C193)</f>
        <v>1903</v>
      </c>
      <c r="D192" s="542">
        <f t="shared" si="78"/>
        <v>0</v>
      </c>
      <c r="E192" s="542">
        <f t="shared" si="77"/>
        <v>1774</v>
      </c>
      <c r="F192" s="542">
        <f t="shared" si="78"/>
        <v>1774</v>
      </c>
      <c r="G192" s="542">
        <f t="shared" si="78"/>
        <v>0</v>
      </c>
    </row>
    <row r="193" s="1" customFormat="1" ht="21.75" customHeight="1" spans="1:7">
      <c r="A193" s="514" t="s">
        <v>229</v>
      </c>
      <c r="B193" s="543"/>
      <c r="C193" s="544">
        <v>1903</v>
      </c>
      <c r="D193" s="545"/>
      <c r="E193" s="546"/>
      <c r="F193" s="544">
        <f>SUMIFS('项目支出总表（开）'!V:V,'项目支出总表（开）'!C:C,MID(TRIM(A193),2,7))+SUMIFS('基本支出总表（开）'!M:M,'基本支出总表（开）'!C:C,MID(TRIM(A193),2,7))</f>
        <v>1774</v>
      </c>
      <c r="G193" s="547">
        <f>SUMIFS('项目支出总表（铁）'!U:U,'项目支出总表（铁）'!C:C,MID(TRIM(A193),2,7))+SUMIFS('基本支出总表（铁）'!M:M,'基本支出总表（铁）'!C:C,MID(TRIM(A193),2,7))</f>
        <v>0</v>
      </c>
    </row>
    <row r="194" s="1" customFormat="1" ht="21.75" customHeight="1" spans="1:7">
      <c r="A194" s="512" t="s">
        <v>230</v>
      </c>
      <c r="B194" s="542">
        <f t="shared" si="75"/>
        <v>1640</v>
      </c>
      <c r="C194" s="542">
        <f t="shared" ref="C194:G194" si="79">SUM(C195:C196)</f>
        <v>1640</v>
      </c>
      <c r="D194" s="542">
        <f t="shared" si="79"/>
        <v>0</v>
      </c>
      <c r="E194" s="542">
        <f t="shared" si="77"/>
        <v>1048.809102</v>
      </c>
      <c r="F194" s="542">
        <f t="shared" si="79"/>
        <v>1048.809102</v>
      </c>
      <c r="G194" s="542">
        <f t="shared" si="79"/>
        <v>0</v>
      </c>
    </row>
    <row r="195" s="1" customFormat="1" ht="21.75" customHeight="1" spans="1:7">
      <c r="A195" s="514" t="s">
        <v>231</v>
      </c>
      <c r="B195" s="543"/>
      <c r="C195" s="544">
        <v>1640</v>
      </c>
      <c r="D195" s="545"/>
      <c r="E195" s="546"/>
      <c r="F195" s="544">
        <f>SUMIFS('项目支出总表（开）'!V:V,'项目支出总表（开）'!C:C,MID(TRIM(A195),2,7))+SUMIFS('基本支出总表（开）'!M:M,'基本支出总表（开）'!C:C,MID(TRIM(A195),2,7))</f>
        <v>1034.809102</v>
      </c>
      <c r="G195" s="547">
        <f>SUMIFS('项目支出总表（铁）'!U:U,'项目支出总表（铁）'!C:C,MID(TRIM(A195),2,7))+SUMIFS('基本支出总表（铁）'!M:M,'基本支出总表（铁）'!C:C,MID(TRIM(A195),2,7))</f>
        <v>0</v>
      </c>
    </row>
    <row r="196" s="1" customFormat="1" ht="21.75" customHeight="1" spans="1:7">
      <c r="A196" s="516" t="s">
        <v>232</v>
      </c>
      <c r="B196" s="548"/>
      <c r="C196" s="544"/>
      <c r="D196" s="545"/>
      <c r="E196" s="549"/>
      <c r="F196" s="544">
        <f>SUMIFS('项目支出总表（开）'!V:V,'项目支出总表（开）'!C:C,MID(TRIM(A196),2,7))+SUMIFS('基本支出总表（开）'!M:M,'基本支出总表（开）'!C:C,MID(TRIM(A196),2,7))</f>
        <v>14</v>
      </c>
      <c r="G196" s="547">
        <f>SUMIFS('项目支出总表（铁）'!U:U,'项目支出总表（铁）'!C:C,MID(TRIM(A196),2,7))+SUMIFS('基本支出总表（铁）'!M:M,'基本支出总表（铁）'!C:C,MID(TRIM(A196),2,7))</f>
        <v>0</v>
      </c>
    </row>
    <row r="197" s="1" customFormat="1" ht="21.75" customHeight="1" spans="1:7">
      <c r="A197" s="512" t="s">
        <v>233</v>
      </c>
      <c r="B197" s="542">
        <f>C197+D197</f>
        <v>30</v>
      </c>
      <c r="C197" s="542">
        <f t="shared" ref="C197:G197" si="80">SUM(C198)</f>
        <v>30</v>
      </c>
      <c r="D197" s="542">
        <f t="shared" si="80"/>
        <v>0</v>
      </c>
      <c r="E197" s="542">
        <f>F197+G197</f>
        <v>23.5828</v>
      </c>
      <c r="F197" s="542">
        <f t="shared" si="80"/>
        <v>23.5828</v>
      </c>
      <c r="G197" s="542">
        <f t="shared" si="80"/>
        <v>0</v>
      </c>
    </row>
    <row r="198" s="1" customFormat="1" ht="21.75" customHeight="1" spans="1:7">
      <c r="A198" s="514" t="s">
        <v>234</v>
      </c>
      <c r="B198" s="543"/>
      <c r="C198" s="544">
        <v>30</v>
      </c>
      <c r="D198" s="545"/>
      <c r="E198" s="546"/>
      <c r="F198" s="544">
        <f>SUMIFS('项目支出总表（开）'!V:V,'项目支出总表（开）'!C:C,MID(TRIM(A198),2,7))+SUMIFS('基本支出总表（开）'!M:M,'基本支出总表（开）'!C:C,MID(TRIM(A198),2,7))</f>
        <v>23.5828</v>
      </c>
      <c r="G198" s="547">
        <f>SUMIFS('项目支出总表（铁）'!U:U,'项目支出总表（铁）'!C:C,MID(TRIM(A198),2,7))+SUMIFS('基本支出总表（铁）'!M:M,'基本支出总表（铁）'!C:C,MID(TRIM(A198),2,7))</f>
        <v>0</v>
      </c>
    </row>
    <row r="199" s="1" customFormat="1" ht="21.75" customHeight="1" spans="1:7">
      <c r="A199" s="512" t="s">
        <v>235</v>
      </c>
      <c r="B199" s="542">
        <f>C199+D199</f>
        <v>190.812795</v>
      </c>
      <c r="C199" s="542">
        <f t="shared" ref="C199:G199" si="81">SUM(C200:C203)</f>
        <v>190.812795</v>
      </c>
      <c r="D199" s="542">
        <f t="shared" si="81"/>
        <v>0</v>
      </c>
      <c r="E199" s="542">
        <f>F199+G199</f>
        <v>204.612795</v>
      </c>
      <c r="F199" s="542">
        <f t="shared" si="81"/>
        <v>204.612795</v>
      </c>
      <c r="G199" s="542">
        <f t="shared" si="81"/>
        <v>0</v>
      </c>
    </row>
    <row r="200" s="1" customFormat="1" ht="21.75" customHeight="1" spans="1:7">
      <c r="A200" s="514" t="s">
        <v>236</v>
      </c>
      <c r="B200" s="543"/>
      <c r="C200" s="544">
        <v>124.112795</v>
      </c>
      <c r="D200" s="545"/>
      <c r="E200" s="546"/>
      <c r="F200" s="544">
        <f>SUMIFS('项目支出总表（开）'!V:V,'项目支出总表（开）'!C:C,MID(TRIM(A200),2,7))+SUMIFS('基本支出总表（开）'!M:M,'基本支出总表（开）'!C:C,MID(TRIM(A200),2,7))</f>
        <v>132.112795</v>
      </c>
      <c r="G200" s="547">
        <f>SUMIFS('项目支出总表（铁）'!U:U,'项目支出总表（铁）'!C:C,MID(TRIM(A200),2,7))+SUMIFS('基本支出总表（铁）'!M:M,'基本支出总表（铁）'!C:C,MID(TRIM(A200),2,7))</f>
        <v>0</v>
      </c>
    </row>
    <row r="201" s="1" customFormat="1" ht="21.75" customHeight="1" spans="1:7">
      <c r="A201" s="514" t="s">
        <v>237</v>
      </c>
      <c r="B201" s="543"/>
      <c r="C201" s="544">
        <v>45</v>
      </c>
      <c r="D201" s="545"/>
      <c r="E201" s="546"/>
      <c r="F201" s="544">
        <f>SUMIFS('项目支出总表（开）'!V:V,'项目支出总表（开）'!C:C,MID(TRIM(A201),2,7))+SUMIFS('基本支出总表（开）'!M:M,'基本支出总表（开）'!C:C,MID(TRIM(A201),2,7))</f>
        <v>45.8</v>
      </c>
      <c r="G201" s="547">
        <f>SUMIFS('项目支出总表（铁）'!U:U,'项目支出总表（铁）'!C:C,MID(TRIM(A201),2,7))+SUMIFS('基本支出总表（铁）'!M:M,'基本支出总表（铁）'!C:C,MID(TRIM(A201),2,7))</f>
        <v>0</v>
      </c>
    </row>
    <row r="202" s="1" customFormat="1" ht="21.75" customHeight="1" spans="1:7">
      <c r="A202" s="514" t="s">
        <v>238</v>
      </c>
      <c r="B202" s="543"/>
      <c r="C202" s="544">
        <v>21.7</v>
      </c>
      <c r="D202" s="545"/>
      <c r="E202" s="546"/>
      <c r="F202" s="544">
        <f>SUMIFS('项目支出总表（开）'!V:V,'项目支出总表（开）'!C:C,MID(TRIM(A202),2,7))+SUMIFS('基本支出总表（开）'!M:M,'基本支出总表（开）'!C:C,MID(TRIM(A202),2,7))</f>
        <v>21.7</v>
      </c>
      <c r="G202" s="547">
        <f>SUMIFS('项目支出总表（铁）'!U:U,'项目支出总表（铁）'!C:C,MID(TRIM(A202),2,7))+SUMIFS('基本支出总表（铁）'!M:M,'基本支出总表（铁）'!C:C,MID(TRIM(A202),2,7))</f>
        <v>0</v>
      </c>
    </row>
    <row r="203" s="1" customFormat="1" ht="21.75" customHeight="1" spans="1:7">
      <c r="A203" s="516" t="s">
        <v>239</v>
      </c>
      <c r="B203" s="548"/>
      <c r="C203" s="544"/>
      <c r="D203" s="545"/>
      <c r="E203" s="549"/>
      <c r="F203" s="544">
        <f>SUMIFS('项目支出总表（开）'!V:V,'项目支出总表（开）'!C:C,MID(TRIM(A203),2,7))+SUMIFS('基本支出总表（开）'!M:M,'基本支出总表（开）'!C:C,MID(TRIM(A203),2,7))</f>
        <v>5</v>
      </c>
      <c r="G203" s="547">
        <f>SUMIFS('项目支出总表（铁）'!U:U,'项目支出总表（铁）'!C:C,MID(TRIM(A203),2,7))+SUMIFS('基本支出总表（铁）'!M:M,'基本支出总表（铁）'!C:C,MID(TRIM(A203),2,7))</f>
        <v>0</v>
      </c>
    </row>
    <row r="204" s="1" customFormat="1" ht="21.75" customHeight="1" spans="1:7">
      <c r="A204" s="517" t="s">
        <v>240</v>
      </c>
      <c r="B204" s="542">
        <f t="shared" ref="B204:B207" si="82">C204+D204</f>
        <v>0</v>
      </c>
      <c r="C204" s="542">
        <f t="shared" ref="C204:G204" si="83">SUM(C205)</f>
        <v>0</v>
      </c>
      <c r="D204" s="542">
        <f t="shared" si="83"/>
        <v>0</v>
      </c>
      <c r="E204" s="542">
        <f t="shared" ref="E204:E207" si="84">F204+G204</f>
        <v>4.744554</v>
      </c>
      <c r="F204" s="542">
        <f t="shared" si="83"/>
        <v>4.402</v>
      </c>
      <c r="G204" s="542">
        <f t="shared" si="83"/>
        <v>0.342554</v>
      </c>
    </row>
    <row r="205" s="1" customFormat="1" ht="21.75" customHeight="1" spans="1:7">
      <c r="A205" s="516" t="s">
        <v>241</v>
      </c>
      <c r="B205" s="548"/>
      <c r="C205" s="544"/>
      <c r="D205" s="545">
        <f>VLOOKUP(A205,'02-2功能项级分类（铁）'!$A$6:$B$82,2,0)</f>
        <v>0</v>
      </c>
      <c r="E205" s="549"/>
      <c r="F205" s="544">
        <f>SUMIFS('项目支出总表（开）'!V:V,'项目支出总表（开）'!C:C,MID(TRIM(A205),2,7))+SUMIFS('基本支出总表（开）'!M:M,'基本支出总表（开）'!C:C,MID(TRIM(A205),2,7))</f>
        <v>4.402</v>
      </c>
      <c r="G205" s="547">
        <f>SUMIFS('项目支出总表（铁）'!U:U,'项目支出总表（铁）'!C:C,MID(TRIM(A205),2,7))+SUMIFS('基本支出总表（铁）'!M:M,'基本支出总表（铁）'!C:C,MID(TRIM(A205),2,7))</f>
        <v>0.342554</v>
      </c>
    </row>
    <row r="206" s="1" customFormat="1" ht="21.75" customHeight="1" spans="1:7">
      <c r="A206" s="510" t="s">
        <v>242</v>
      </c>
      <c r="B206" s="540">
        <f t="shared" si="82"/>
        <v>2963.688037</v>
      </c>
      <c r="C206" s="541">
        <f t="shared" ref="C206:G206" si="85">C207+C210+C212+C219+C215+C217</f>
        <v>2963.688037</v>
      </c>
      <c r="D206" s="541">
        <f t="shared" si="85"/>
        <v>0</v>
      </c>
      <c r="E206" s="541">
        <f t="shared" si="84"/>
        <v>12118.446837</v>
      </c>
      <c r="F206" s="541">
        <f t="shared" si="85"/>
        <v>11865.206837</v>
      </c>
      <c r="G206" s="541">
        <f t="shared" si="85"/>
        <v>253.24</v>
      </c>
    </row>
    <row r="207" s="1" customFormat="1" ht="21.75" customHeight="1" spans="1:7">
      <c r="A207" s="512" t="s">
        <v>243</v>
      </c>
      <c r="B207" s="542">
        <f t="shared" si="82"/>
        <v>437.228037</v>
      </c>
      <c r="C207" s="542">
        <f t="shared" ref="C207:G207" si="86">SUM(C208:C209)</f>
        <v>437.228037</v>
      </c>
      <c r="D207" s="542">
        <f t="shared" si="86"/>
        <v>0</v>
      </c>
      <c r="E207" s="542">
        <f t="shared" si="84"/>
        <v>526.248037</v>
      </c>
      <c r="F207" s="542">
        <f t="shared" si="86"/>
        <v>526.248037</v>
      </c>
      <c r="G207" s="542">
        <f t="shared" si="86"/>
        <v>0</v>
      </c>
    </row>
    <row r="208" s="1" customFormat="1" ht="21.75" customHeight="1" spans="1:7">
      <c r="A208" s="514" t="s">
        <v>244</v>
      </c>
      <c r="B208" s="543"/>
      <c r="C208" s="544">
        <v>381.228037</v>
      </c>
      <c r="D208" s="545"/>
      <c r="E208" s="546"/>
      <c r="F208" s="544">
        <f>SUMIFS('项目支出总表（开）'!V:V,'项目支出总表（开）'!C:C,MID(TRIM(A208),2,7))+SUMIFS('基本支出总表（开）'!M:M,'基本支出总表（开）'!C:C,MID(TRIM(A208),2,7))</f>
        <v>465.228037</v>
      </c>
      <c r="G208" s="547">
        <f>SUMIFS('项目支出总表（铁）'!U:U,'项目支出总表（铁）'!C:C,MID(TRIM(A208),2,7))+SUMIFS('基本支出总表（铁）'!M:M,'基本支出总表（铁）'!C:C,MID(TRIM(A208),2,7))</f>
        <v>0</v>
      </c>
    </row>
    <row r="209" s="1" customFormat="1" ht="21.75" customHeight="1" spans="1:7">
      <c r="A209" s="514" t="s">
        <v>245</v>
      </c>
      <c r="B209" s="543"/>
      <c r="C209" s="544">
        <v>56</v>
      </c>
      <c r="D209" s="545"/>
      <c r="E209" s="546"/>
      <c r="F209" s="544">
        <f>SUMIFS('项目支出总表（开）'!V:V,'项目支出总表（开）'!C:C,MID(TRIM(A209),2,7))+SUMIFS('基本支出总表（开）'!M:M,'基本支出总表（开）'!C:C,MID(TRIM(A209),2,7))</f>
        <v>61.02</v>
      </c>
      <c r="G209" s="547">
        <f>SUMIFS('项目支出总表（铁）'!U:U,'项目支出总表（铁）'!C:C,MID(TRIM(A209),2,7))+SUMIFS('基本支出总表（铁）'!M:M,'基本支出总表（铁）'!C:C,MID(TRIM(A209),2,7))</f>
        <v>0</v>
      </c>
    </row>
    <row r="210" s="1" customFormat="1" ht="21.75" customHeight="1" spans="1:7">
      <c r="A210" s="512" t="s">
        <v>246</v>
      </c>
      <c r="B210" s="542">
        <f t="shared" ref="B210:B215" si="87">C210+D210</f>
        <v>161</v>
      </c>
      <c r="C210" s="542">
        <f t="shared" ref="C210:G210" si="88">SUM(C211)</f>
        <v>161</v>
      </c>
      <c r="D210" s="542">
        <f t="shared" si="88"/>
        <v>0</v>
      </c>
      <c r="E210" s="542">
        <f t="shared" ref="E210:E215" si="89">F210+G210</f>
        <v>300.9088</v>
      </c>
      <c r="F210" s="542">
        <f t="shared" si="88"/>
        <v>300.9088</v>
      </c>
      <c r="G210" s="542">
        <f t="shared" si="88"/>
        <v>0</v>
      </c>
    </row>
    <row r="211" s="1" customFormat="1" ht="21.75" customHeight="1" spans="1:7">
      <c r="A211" s="514" t="s">
        <v>247</v>
      </c>
      <c r="B211" s="543"/>
      <c r="C211" s="544">
        <v>161</v>
      </c>
      <c r="D211" s="545"/>
      <c r="E211" s="546"/>
      <c r="F211" s="544">
        <f>SUMIFS('项目支出总表（开）'!V:V,'项目支出总表（开）'!C:C,MID(TRIM(A211),2,7))+SUMIFS('基本支出总表（开）'!M:M,'基本支出总表（开）'!C:C,MID(TRIM(A211),2,7))</f>
        <v>300.9088</v>
      </c>
      <c r="G211" s="547">
        <f>SUMIFS('项目支出总表（铁）'!U:U,'项目支出总表（铁）'!C:C,MID(TRIM(A211),2,7))+SUMIFS('基本支出总表（铁）'!M:M,'基本支出总表（铁）'!C:C,MID(TRIM(A211),2,7))</f>
        <v>0</v>
      </c>
    </row>
    <row r="212" s="1" customFormat="1" ht="21.75" customHeight="1" spans="1:7">
      <c r="A212" s="512" t="s">
        <v>248</v>
      </c>
      <c r="B212" s="542">
        <f t="shared" si="87"/>
        <v>1570.46</v>
      </c>
      <c r="C212" s="542">
        <f t="shared" ref="C212:G212" si="90">SUM(C213:C214)</f>
        <v>1570.46</v>
      </c>
      <c r="D212" s="542">
        <f t="shared" si="90"/>
        <v>0</v>
      </c>
      <c r="E212" s="542">
        <f t="shared" si="89"/>
        <v>8970.750823</v>
      </c>
      <c r="F212" s="542">
        <f t="shared" si="90"/>
        <v>8970.750823</v>
      </c>
      <c r="G212" s="542">
        <f t="shared" si="90"/>
        <v>0</v>
      </c>
    </row>
    <row r="213" s="1" customFormat="1" ht="21.75" customHeight="1" spans="1:7">
      <c r="A213" s="514" t="s">
        <v>249</v>
      </c>
      <c r="B213" s="543"/>
      <c r="C213" s="544">
        <v>1550</v>
      </c>
      <c r="D213" s="545"/>
      <c r="E213" s="546"/>
      <c r="F213" s="544">
        <f>SUMIFS('项目支出总表（开）'!V:V,'项目支出总表（开）'!C:C,MID(TRIM(A213),2,7))+SUMIFS('基本支出总表（开）'!M:M,'基本支出总表（开）'!C:C,MID(TRIM(A213),2,7))</f>
        <v>8250.290823</v>
      </c>
      <c r="G213" s="547">
        <f>SUMIFS('项目支出总表（铁）'!U:U,'项目支出总表（铁）'!C:C,MID(TRIM(A213),2,7))+SUMIFS('基本支出总表（铁）'!M:M,'基本支出总表（铁）'!C:C,MID(TRIM(A213),2,7))</f>
        <v>0</v>
      </c>
    </row>
    <row r="214" s="1" customFormat="1" ht="21.75" customHeight="1" spans="1:7">
      <c r="A214" s="514" t="s">
        <v>250</v>
      </c>
      <c r="B214" s="543"/>
      <c r="C214" s="544">
        <v>20.46</v>
      </c>
      <c r="D214" s="545"/>
      <c r="E214" s="546"/>
      <c r="F214" s="544">
        <f>SUMIFS('项目支出总表（开）'!V:V,'项目支出总表（开）'!C:C,MID(TRIM(A214),2,7))+SUMIFS('基本支出总表（开）'!M:M,'基本支出总表（开）'!C:C,MID(TRIM(A214),2,7))</f>
        <v>720.46</v>
      </c>
      <c r="G214" s="547">
        <f>SUMIFS('项目支出总表（铁）'!U:U,'项目支出总表（铁）'!C:C,MID(TRIM(A214),2,7))+SUMIFS('基本支出总表（铁）'!M:M,'基本支出总表（铁）'!C:C,MID(TRIM(A214),2,7))</f>
        <v>0</v>
      </c>
    </row>
    <row r="215" s="1" customFormat="1" ht="21.75" customHeight="1" spans="1:7">
      <c r="A215" s="517" t="s">
        <v>251</v>
      </c>
      <c r="B215" s="542">
        <f t="shared" si="87"/>
        <v>0</v>
      </c>
      <c r="C215" s="542">
        <f t="shared" ref="C215:G215" si="91">SUM(C216)</f>
        <v>0</v>
      </c>
      <c r="D215" s="542">
        <f t="shared" si="91"/>
        <v>0</v>
      </c>
      <c r="E215" s="542">
        <f t="shared" si="89"/>
        <v>270</v>
      </c>
      <c r="F215" s="542">
        <f t="shared" si="91"/>
        <v>270</v>
      </c>
      <c r="G215" s="542">
        <f t="shared" si="91"/>
        <v>0</v>
      </c>
    </row>
    <row r="216" s="1" customFormat="1" ht="21.75" customHeight="1" spans="1:7">
      <c r="A216" s="516" t="s">
        <v>252</v>
      </c>
      <c r="B216" s="548"/>
      <c r="C216" s="544"/>
      <c r="D216" s="545"/>
      <c r="E216" s="549"/>
      <c r="F216" s="544">
        <f>SUMIFS('项目支出总表（开）'!V:V,'项目支出总表（开）'!C:C,MID(TRIM(A216),2,7))+SUMIFS('基本支出总表（开）'!M:M,'基本支出总表（开）'!C:C,MID(TRIM(A216),2,7))</f>
        <v>270</v>
      </c>
      <c r="G216" s="547">
        <f>SUMIFS('项目支出总表（铁）'!U:U,'项目支出总表（铁）'!C:C,MID(TRIM(A216),2,7))+SUMIFS('基本支出总表（铁）'!M:M,'基本支出总表（铁）'!C:C,MID(TRIM(A216),2,7))</f>
        <v>0</v>
      </c>
    </row>
    <row r="217" s="1" customFormat="1" ht="21.75" customHeight="1" spans="1:7">
      <c r="A217" s="512" t="s">
        <v>253</v>
      </c>
      <c r="B217" s="542">
        <f t="shared" ref="B217:B222" si="92">C217+D217</f>
        <v>795</v>
      </c>
      <c r="C217" s="542">
        <f t="shared" ref="C217:G217" si="93">SUM(C218)</f>
        <v>795</v>
      </c>
      <c r="D217" s="542">
        <f t="shared" si="93"/>
        <v>0</v>
      </c>
      <c r="E217" s="542">
        <f t="shared" ref="E217:E222" si="94">F217+G217</f>
        <v>420.539177</v>
      </c>
      <c r="F217" s="542">
        <f t="shared" si="93"/>
        <v>167.299177</v>
      </c>
      <c r="G217" s="542">
        <f t="shared" si="93"/>
        <v>253.24</v>
      </c>
    </row>
    <row r="218" s="1" customFormat="1" ht="21.75" customHeight="1" spans="1:7">
      <c r="A218" s="514" t="s">
        <v>254</v>
      </c>
      <c r="B218" s="543"/>
      <c r="C218" s="544">
        <v>795</v>
      </c>
      <c r="D218" s="545">
        <f>VLOOKUP(A218,'02-2功能项级分类（铁）'!$A$6:$B$82,2,0)</f>
        <v>0</v>
      </c>
      <c r="E218" s="546"/>
      <c r="F218" s="544">
        <f>SUMIFS('项目支出总表（开）'!V:V,'项目支出总表（开）'!C:C,MID(TRIM(A218),2,7))+SUMIFS('基本支出总表（开）'!M:M,'基本支出总表（开）'!C:C,MID(TRIM(A218),2,7))</f>
        <v>167.299177</v>
      </c>
      <c r="G218" s="547">
        <f>SUMIFS('项目支出总表（铁）'!U:U,'项目支出总表（铁）'!C:C,MID(TRIM(A218),2,7))+SUMIFS('基本支出总表（铁）'!M:M,'基本支出总表（铁）'!C:C,MID(TRIM(A218),2,7))</f>
        <v>253.24</v>
      </c>
    </row>
    <row r="219" s="1" customFormat="1" ht="21.75" customHeight="1" spans="1:7">
      <c r="A219" s="517" t="s">
        <v>255</v>
      </c>
      <c r="B219" s="542">
        <f t="shared" si="92"/>
        <v>0</v>
      </c>
      <c r="C219" s="542">
        <f t="shared" ref="C219:G219" si="95">SUM(C220)</f>
        <v>0</v>
      </c>
      <c r="D219" s="542">
        <f t="shared" si="95"/>
        <v>0</v>
      </c>
      <c r="E219" s="542">
        <f t="shared" si="94"/>
        <v>1630</v>
      </c>
      <c r="F219" s="542">
        <f t="shared" si="95"/>
        <v>1630</v>
      </c>
      <c r="G219" s="542">
        <f t="shared" si="95"/>
        <v>0</v>
      </c>
    </row>
    <row r="220" s="1" customFormat="1" ht="21.75" customHeight="1" spans="1:7">
      <c r="A220" s="516" t="s">
        <v>256</v>
      </c>
      <c r="B220" s="548"/>
      <c r="C220" s="544"/>
      <c r="D220" s="545"/>
      <c r="E220" s="549"/>
      <c r="F220" s="544">
        <f>SUMIFS('项目支出总表（开）'!V:V,'项目支出总表（开）'!C:C,MID(TRIM(A220),2,7))+SUMIFS('基本支出总表（开）'!M:M,'基本支出总表（开）'!C:C,MID(TRIM(A220),2,7))</f>
        <v>1630</v>
      </c>
      <c r="G220" s="547">
        <f>SUMIFS('项目支出总表（铁）'!U:U,'项目支出总表（铁）'!C:C,MID(TRIM(A220),2,7))+SUMIFS('基本支出总表（铁）'!M:M,'基本支出总表（铁）'!C:C,MID(TRIM(A220),2,7))</f>
        <v>0</v>
      </c>
    </row>
    <row r="221" s="1" customFormat="1" ht="21.75" customHeight="1" spans="1:7">
      <c r="A221" s="510" t="s">
        <v>257</v>
      </c>
      <c r="B221" s="540">
        <f t="shared" si="92"/>
        <v>39233.449061</v>
      </c>
      <c r="C221" s="541">
        <f t="shared" ref="C221:G221" si="96">C222+C226+C231+C229</f>
        <v>36378.376587</v>
      </c>
      <c r="D221" s="541">
        <f t="shared" si="96"/>
        <v>2855.072474</v>
      </c>
      <c r="E221" s="541">
        <f t="shared" si="94"/>
        <v>62523.3057</v>
      </c>
      <c r="F221" s="541">
        <f t="shared" si="96"/>
        <v>59729.153226</v>
      </c>
      <c r="G221" s="541">
        <f t="shared" si="96"/>
        <v>2794.152474</v>
      </c>
    </row>
    <row r="222" s="1" customFormat="1" ht="21.75" customHeight="1" spans="1:7">
      <c r="A222" s="512" t="s">
        <v>258</v>
      </c>
      <c r="B222" s="542">
        <f t="shared" si="92"/>
        <v>3251.639061</v>
      </c>
      <c r="C222" s="542">
        <f t="shared" ref="C222:G222" si="97">SUM(C223:C225)</f>
        <v>2677.366587</v>
      </c>
      <c r="D222" s="542">
        <f t="shared" si="97"/>
        <v>574.272474</v>
      </c>
      <c r="E222" s="542">
        <f t="shared" si="94"/>
        <v>3277.397</v>
      </c>
      <c r="F222" s="542">
        <f t="shared" si="97"/>
        <v>2685.124526</v>
      </c>
      <c r="G222" s="542">
        <f t="shared" si="97"/>
        <v>592.272474</v>
      </c>
    </row>
    <row r="223" s="1" customFormat="1" ht="21.75" customHeight="1" spans="1:7">
      <c r="A223" s="514" t="s">
        <v>259</v>
      </c>
      <c r="B223" s="543"/>
      <c r="C223" s="544">
        <v>1150.656587</v>
      </c>
      <c r="D223" s="545">
        <v>150.652474</v>
      </c>
      <c r="E223" s="546"/>
      <c r="F223" s="544">
        <f>SUMIFS('项目支出总表（开）'!V:V,'项目支出总表（开）'!C:C,MID(TRIM(A223),2,7))+SUMIFS('基本支出总表（开）'!M:M,'基本支出总表（开）'!C:C,MID(TRIM(A223),2,7))</f>
        <v>1150.656587</v>
      </c>
      <c r="G223" s="547">
        <f>SUMIFS('项目支出总表（铁）'!U:U,'项目支出总表（铁）'!C:C,MID(TRIM(A223),2,7))+SUMIFS('基本支出总表（铁）'!M:M,'基本支出总表（铁）'!C:C,MID(TRIM(A223),2,7))</f>
        <v>168.652474</v>
      </c>
    </row>
    <row r="224" s="1" customFormat="1" ht="21.75" customHeight="1" spans="1:7">
      <c r="A224" s="516" t="s">
        <v>260</v>
      </c>
      <c r="B224" s="548"/>
      <c r="C224" s="544">
        <v>158.8</v>
      </c>
      <c r="D224" s="545"/>
      <c r="E224" s="549"/>
      <c r="F224" s="544">
        <f>SUMIFS('项目支出总表（开）'!V:V,'项目支出总表（开）'!C:C,MID(TRIM(A224),2,7))+SUMIFS('基本支出总表（开）'!M:M,'基本支出总表（开）'!C:C,MID(TRIM(A224),2,7))</f>
        <v>195.78</v>
      </c>
      <c r="G224" s="547">
        <f>SUMIFS('项目支出总表（铁）'!U:U,'项目支出总表（铁）'!C:C,MID(TRIM(A224),2,7))+SUMIFS('基本支出总表（铁）'!M:M,'基本支出总表（铁）'!C:C,MID(TRIM(A224),2,7))</f>
        <v>0</v>
      </c>
    </row>
    <row r="225" s="1" customFormat="1" ht="21.75" customHeight="1" spans="1:7">
      <c r="A225" s="514" t="s">
        <v>261</v>
      </c>
      <c r="B225" s="543"/>
      <c r="C225" s="544">
        <v>1367.91</v>
      </c>
      <c r="D225" s="545">
        <v>423.62</v>
      </c>
      <c r="E225" s="546"/>
      <c r="F225" s="544">
        <f>SUMIFS('项目支出总表（开）'!V:V,'项目支出总表（开）'!C:C,MID(TRIM(A225),2,7))+SUMIFS('基本支出总表（开）'!M:M,'基本支出总表（开）'!C:C,MID(TRIM(A225),2,7))</f>
        <v>1338.687939</v>
      </c>
      <c r="G225" s="547">
        <f>SUMIFS('项目支出总表（铁）'!U:U,'项目支出总表（铁）'!C:C,MID(TRIM(A225),2,7))+SUMIFS('基本支出总表（铁）'!M:M,'基本支出总表（铁）'!C:C,MID(TRIM(A225),2,7))</f>
        <v>423.62</v>
      </c>
    </row>
    <row r="226" s="1" customFormat="1" ht="21.75" customHeight="1" spans="1:7">
      <c r="A226" s="512" t="s">
        <v>262</v>
      </c>
      <c r="B226" s="542">
        <f>C226+D226</f>
        <v>29389.55</v>
      </c>
      <c r="C226" s="542">
        <f>SUM(C227:C228)</f>
        <v>29389.55</v>
      </c>
      <c r="D226" s="542">
        <f>SUM(D227:D228)</f>
        <v>0</v>
      </c>
      <c r="E226" s="542">
        <f>F226+G226</f>
        <v>52992.5687</v>
      </c>
      <c r="F226" s="542">
        <f>SUM(F227:F228)</f>
        <v>52992.5687</v>
      </c>
      <c r="G226" s="542">
        <f>SUM(G227:G228)</f>
        <v>0</v>
      </c>
    </row>
    <row r="227" s="1" customFormat="1" ht="21.75" customHeight="1" spans="1:7">
      <c r="A227" s="516" t="s">
        <v>263</v>
      </c>
      <c r="B227" s="543"/>
      <c r="C227" s="544"/>
      <c r="D227" s="545"/>
      <c r="E227" s="546"/>
      <c r="F227" s="544">
        <f>SUMIFS('项目支出总表（开）'!V:V,'项目支出总表（开）'!C:C,MID(TRIM(A227),2,7))+SUMIFS('基本支出总表（开）'!M:M,'基本支出总表（开）'!C:C,MID(TRIM(A227),2,7))</f>
        <v>2495</v>
      </c>
      <c r="G227" s="547"/>
    </row>
    <row r="228" s="1" customFormat="1" ht="21.75" customHeight="1" spans="1:7">
      <c r="A228" s="514" t="s">
        <v>264</v>
      </c>
      <c r="B228" s="543"/>
      <c r="C228" s="544">
        <v>29389.55</v>
      </c>
      <c r="D228" s="545"/>
      <c r="E228" s="546"/>
      <c r="F228" s="544">
        <f>SUMIFS('项目支出总表（开）'!V:V,'项目支出总表（开）'!C:C,MID(TRIM(A228),2,7))+SUMIFS('基本支出总表（开）'!M:M,'基本支出总表（开）'!C:C,MID(TRIM(A228),2,7))</f>
        <v>50497.5687</v>
      </c>
      <c r="G228" s="547">
        <f>SUMIFS('项目支出总表（铁）'!U:U,'项目支出总表（铁）'!C:C,MID(TRIM(A228),2,7))+SUMIFS('基本支出总表（铁）'!M:M,'基本支出总表（铁）'!C:C,MID(TRIM(A228),2,7))</f>
        <v>0</v>
      </c>
    </row>
    <row r="229" s="1" customFormat="1" ht="21.75" customHeight="1" spans="1:7">
      <c r="A229" s="512" t="s">
        <v>265</v>
      </c>
      <c r="B229" s="542">
        <f>C229+D229</f>
        <v>6592.26</v>
      </c>
      <c r="C229" s="542">
        <f t="shared" ref="C229:G229" si="98">SUM(C230)</f>
        <v>4311.46</v>
      </c>
      <c r="D229" s="542">
        <f t="shared" si="98"/>
        <v>2280.8</v>
      </c>
      <c r="E229" s="542">
        <f>F229+G229</f>
        <v>6213.34</v>
      </c>
      <c r="F229" s="542">
        <f t="shared" si="98"/>
        <v>4011.46</v>
      </c>
      <c r="G229" s="542">
        <f t="shared" si="98"/>
        <v>2201.88</v>
      </c>
    </row>
    <row r="230" s="1" customFormat="1" ht="21.75" customHeight="1" spans="1:7">
      <c r="A230" s="514" t="s">
        <v>266</v>
      </c>
      <c r="B230" s="543"/>
      <c r="C230" s="544">
        <v>4311.46</v>
      </c>
      <c r="D230" s="545">
        <v>2280.8</v>
      </c>
      <c r="E230" s="546"/>
      <c r="F230" s="544">
        <f>SUMIFS('项目支出总表（开）'!V:V,'项目支出总表（开）'!C:C,MID(TRIM(A230),2,7))+SUMIFS('基本支出总表（开）'!M:M,'基本支出总表（开）'!C:C,MID(TRIM(A230),2,7))</f>
        <v>4011.46</v>
      </c>
      <c r="G230" s="547">
        <f>SUMIFS('项目支出总表（铁）'!U:U,'项目支出总表（铁）'!C:C,MID(TRIM(A230),2,7))+SUMIFS('基本支出总表（铁）'!M:M,'基本支出总表（铁）'!C:C,MID(TRIM(A230),2,7))</f>
        <v>2201.88</v>
      </c>
    </row>
    <row r="231" s="1" customFormat="1" ht="21.75" customHeight="1" spans="1:7">
      <c r="A231" s="517" t="s">
        <v>267</v>
      </c>
      <c r="B231" s="542">
        <f>C231+D231</f>
        <v>0</v>
      </c>
      <c r="C231" s="542">
        <f t="shared" ref="C231:G231" si="99">SUM(C232)</f>
        <v>0</v>
      </c>
      <c r="D231" s="542">
        <f t="shared" si="99"/>
        <v>0</v>
      </c>
      <c r="E231" s="542">
        <f>F231+G231</f>
        <v>40</v>
      </c>
      <c r="F231" s="542">
        <f t="shared" si="99"/>
        <v>40</v>
      </c>
      <c r="G231" s="542">
        <f t="shared" si="99"/>
        <v>0</v>
      </c>
    </row>
    <row r="232" s="1" customFormat="1" ht="21.75" customHeight="1" spans="1:7">
      <c r="A232" s="516" t="s">
        <v>268</v>
      </c>
      <c r="B232" s="548"/>
      <c r="C232" s="544"/>
      <c r="D232" s="545"/>
      <c r="E232" s="549"/>
      <c r="F232" s="544">
        <f>SUMIFS('项目支出总表（开）'!V:V,'项目支出总表（开）'!C:C,MID(TRIM(A232),2,7))+SUMIFS('基本支出总表（开）'!M:M,'基本支出总表（开）'!C:C,MID(TRIM(A232),2,7))</f>
        <v>40</v>
      </c>
      <c r="G232" s="547">
        <f>SUMIFS('项目支出总表（铁）'!U:U,'项目支出总表（铁）'!C:C,MID(TRIM(A232),2,7))+SUMIFS('基本支出总表（铁）'!M:M,'基本支出总表（铁）'!C:C,MID(TRIM(A232),2,7))</f>
        <v>0</v>
      </c>
    </row>
    <row r="233" s="1" customFormat="1" ht="21.75" customHeight="1" spans="1:7">
      <c r="A233" s="510" t="s">
        <v>269</v>
      </c>
      <c r="B233" s="540">
        <f>C233+D233</f>
        <v>9891.665949</v>
      </c>
      <c r="C233" s="541">
        <f t="shared" ref="C233:G233" si="100">C234+C248+C255+C261+C266+C272+C270</f>
        <v>9891.665949</v>
      </c>
      <c r="D233" s="541">
        <f t="shared" si="100"/>
        <v>0</v>
      </c>
      <c r="E233" s="541">
        <f>F233+G233</f>
        <v>14056.424704</v>
      </c>
      <c r="F233" s="541">
        <f t="shared" si="100"/>
        <v>13991.424704</v>
      </c>
      <c r="G233" s="541">
        <f t="shared" si="100"/>
        <v>65</v>
      </c>
    </row>
    <row r="234" s="1" customFormat="1" ht="21.75" customHeight="1" spans="1:7">
      <c r="A234" s="512" t="s">
        <v>270</v>
      </c>
      <c r="B234" s="542">
        <f>C234+D234</f>
        <v>1974.474623</v>
      </c>
      <c r="C234" s="542">
        <f t="shared" ref="C234:G234" si="101">SUM(C235:C247)</f>
        <v>1974.474623</v>
      </c>
      <c r="D234" s="542">
        <f t="shared" si="101"/>
        <v>0</v>
      </c>
      <c r="E234" s="542">
        <f>F234+G234</f>
        <v>1712.705672</v>
      </c>
      <c r="F234" s="542">
        <f t="shared" si="101"/>
        <v>1712.705672</v>
      </c>
      <c r="G234" s="542">
        <f t="shared" si="101"/>
        <v>0</v>
      </c>
    </row>
    <row r="235" s="1" customFormat="1" ht="21.75" customHeight="1" spans="1:7">
      <c r="A235" s="514" t="s">
        <v>271</v>
      </c>
      <c r="B235" s="543"/>
      <c r="C235" s="544">
        <v>329.231527</v>
      </c>
      <c r="D235" s="545"/>
      <c r="E235" s="546"/>
      <c r="F235" s="544">
        <f>SUMIFS('项目支出总表（开）'!V:V,'项目支出总表（开）'!C:C,MID(TRIM(A235),2,7))+SUMIFS('基本支出总表（开）'!M:M,'基本支出总表（开）'!C:C,MID(TRIM(A235),2,7))</f>
        <v>329.231527</v>
      </c>
      <c r="G235" s="547">
        <f>SUMIFS('项目支出总表（铁）'!U:U,'项目支出总表（铁）'!C:C,MID(TRIM(A235),2,7))+SUMIFS('基本支出总表（铁）'!M:M,'基本支出总表（铁）'!C:C,MID(TRIM(A235),2,7))</f>
        <v>0</v>
      </c>
    </row>
    <row r="236" s="1" customFormat="1" ht="21.75" customHeight="1" spans="1:7">
      <c r="A236" s="516" t="s">
        <v>272</v>
      </c>
      <c r="B236" s="548"/>
      <c r="C236" s="544"/>
      <c r="D236" s="545"/>
      <c r="E236" s="549"/>
      <c r="F236" s="544">
        <f>SUMIFS('项目支出总表（开）'!V:V,'项目支出总表（开）'!C:C,MID(TRIM(A236),2,7))+SUMIFS('基本支出总表（开）'!M:M,'基本支出总表（开）'!C:C,MID(TRIM(A236),2,7))</f>
        <v>8.029</v>
      </c>
      <c r="G236" s="547">
        <f>SUMIFS('项目支出总表（铁）'!U:U,'项目支出总表（铁）'!C:C,MID(TRIM(A236),2,7))+SUMIFS('基本支出总表（铁）'!M:M,'基本支出总表（铁）'!C:C,MID(TRIM(A236),2,7))</f>
        <v>0</v>
      </c>
    </row>
    <row r="237" s="1" customFormat="1" ht="21.75" customHeight="1" spans="1:7">
      <c r="A237" s="514" t="s">
        <v>273</v>
      </c>
      <c r="B237" s="543"/>
      <c r="C237" s="544">
        <v>137.703096</v>
      </c>
      <c r="D237" s="545"/>
      <c r="E237" s="546"/>
      <c r="F237" s="544">
        <f>SUMIFS('项目支出总表（开）'!V:V,'项目支出总表（开）'!C:C,MID(TRIM(A237),2,7))+SUMIFS('基本支出总表（开）'!M:M,'基本支出总表（开）'!C:C,MID(TRIM(A237),2,7))</f>
        <v>148.703096</v>
      </c>
      <c r="G237" s="547">
        <f>SUMIFS('项目支出总表（铁）'!U:U,'项目支出总表（铁）'!C:C,MID(TRIM(A237),2,7))+SUMIFS('基本支出总表（铁）'!M:M,'基本支出总表（铁）'!C:C,MID(TRIM(A237),2,7))</f>
        <v>0</v>
      </c>
    </row>
    <row r="238" s="1" customFormat="1" ht="21.75" customHeight="1" spans="1:7">
      <c r="A238" s="514" t="s">
        <v>274</v>
      </c>
      <c r="B238" s="543"/>
      <c r="C238" s="544">
        <v>50</v>
      </c>
      <c r="D238" s="545"/>
      <c r="E238" s="546"/>
      <c r="F238" s="544">
        <f>SUMIFS('项目支出总表（开）'!V:V,'项目支出总表（开）'!C:C,MID(TRIM(A238),2,7))+SUMIFS('基本支出总表（开）'!M:M,'基本支出总表（开）'!C:C,MID(TRIM(A238),2,7))</f>
        <v>50</v>
      </c>
      <c r="G238" s="547">
        <f>SUMIFS('项目支出总表（铁）'!U:U,'项目支出总表（铁）'!C:C,MID(TRIM(A238),2,7))+SUMIFS('基本支出总表（铁）'!M:M,'基本支出总表（铁）'!C:C,MID(TRIM(A238),2,7))</f>
        <v>0</v>
      </c>
    </row>
    <row r="239" s="1" customFormat="1" ht="21.75" customHeight="1" spans="1:7">
      <c r="A239" s="516" t="s">
        <v>275</v>
      </c>
      <c r="B239" s="548"/>
      <c r="C239" s="544"/>
      <c r="D239" s="545"/>
      <c r="E239" s="549"/>
      <c r="F239" s="544">
        <f>SUMIFS('项目支出总表（开）'!V:V,'项目支出总表（开）'!C:C,MID(TRIM(A239),2,7))+SUMIFS('基本支出总表（开）'!M:M,'基本支出总表（开）'!C:C,MID(TRIM(A239),2,7))</f>
        <v>11.72</v>
      </c>
      <c r="G239" s="547">
        <f>SUMIFS('项目支出总表（铁）'!U:U,'项目支出总表（铁）'!C:C,MID(TRIM(A239),2,7))+SUMIFS('基本支出总表（铁）'!M:M,'基本支出总表（铁）'!C:C,MID(TRIM(A239),2,7))</f>
        <v>0</v>
      </c>
    </row>
    <row r="240" s="1" customFormat="1" ht="21.75" customHeight="1" spans="1:7">
      <c r="A240" s="514" t="s">
        <v>276</v>
      </c>
      <c r="B240" s="543"/>
      <c r="C240" s="544">
        <v>55</v>
      </c>
      <c r="D240" s="545"/>
      <c r="E240" s="546"/>
      <c r="F240" s="544">
        <f>SUMIFS('项目支出总表（开）'!V:V,'项目支出总表（开）'!C:C,MID(TRIM(A240),2,7))+SUMIFS('基本支出总表（开）'!M:M,'基本支出总表（开）'!C:C,MID(TRIM(A240),2,7))</f>
        <v>0</v>
      </c>
      <c r="G240" s="547">
        <f>SUMIFS('项目支出总表（铁）'!U:U,'项目支出总表（铁）'!C:C,MID(TRIM(A240),2,7))+SUMIFS('基本支出总表（铁）'!M:M,'基本支出总表（铁）'!C:C,MID(TRIM(A240),2,7))</f>
        <v>0</v>
      </c>
    </row>
    <row r="241" s="1" customFormat="1" ht="21.75" customHeight="1" spans="1:7">
      <c r="A241" s="516" t="s">
        <v>277</v>
      </c>
      <c r="B241" s="548"/>
      <c r="C241" s="544"/>
      <c r="D241" s="545"/>
      <c r="E241" s="549"/>
      <c r="F241" s="544">
        <f>SUMIFS('项目支出总表（开）'!V:V,'项目支出总表（开）'!C:C,MID(TRIM(A241),2,7))+SUMIFS('基本支出总表（开）'!M:M,'基本支出总表（开）'!C:C,MID(TRIM(A241),2,7))</f>
        <v>159.943</v>
      </c>
      <c r="G241" s="547">
        <f>SUMIFS('项目支出总表（铁）'!U:U,'项目支出总表（铁）'!C:C,MID(TRIM(A241),2,7))+SUMIFS('基本支出总表（铁）'!M:M,'基本支出总表（铁）'!C:C,MID(TRIM(A241),2,7))</f>
        <v>0</v>
      </c>
    </row>
    <row r="242" s="1" customFormat="1" ht="21.75" customHeight="1" spans="1:7">
      <c r="A242" s="516" t="s">
        <v>278</v>
      </c>
      <c r="B242" s="548"/>
      <c r="C242" s="544">
        <v>20</v>
      </c>
      <c r="D242" s="545"/>
      <c r="E242" s="549"/>
      <c r="F242" s="544">
        <f>SUMIFS('项目支出总表（开）'!V:V,'项目支出总表（开）'!C:C,MID(TRIM(A242),2,7))+SUMIFS('基本支出总表（开）'!M:M,'基本支出总表（开）'!C:C,MID(TRIM(A242),2,7))</f>
        <v>0</v>
      </c>
      <c r="G242" s="547">
        <f>SUMIFS('项目支出总表（铁）'!U:U,'项目支出总表（铁）'!C:C,MID(TRIM(A242),2,7))+SUMIFS('基本支出总表（铁）'!M:M,'基本支出总表（铁）'!C:C,MID(TRIM(A242),2,7))</f>
        <v>0</v>
      </c>
    </row>
    <row r="243" s="1" customFormat="1" ht="21.75" customHeight="1" spans="1:7">
      <c r="A243" s="516" t="s">
        <v>279</v>
      </c>
      <c r="B243" s="548"/>
      <c r="C243" s="544"/>
      <c r="D243" s="545"/>
      <c r="E243" s="549"/>
      <c r="F243" s="544">
        <f>SUMIFS('项目支出总表（开）'!V:V,'项目支出总表（开）'!C:C,MID(TRIM(A243),2,7))+SUMIFS('基本支出总表（开）'!M:M,'基本支出总表（开）'!C:C,MID(TRIM(A243),2,7))</f>
        <v>234</v>
      </c>
      <c r="G243" s="547">
        <f>SUMIFS('项目支出总表（铁）'!U:U,'项目支出总表（铁）'!C:C,MID(TRIM(A243),2,7))+SUMIFS('基本支出总表（铁）'!M:M,'基本支出总表（铁）'!C:C,MID(TRIM(A243),2,7))</f>
        <v>0</v>
      </c>
    </row>
    <row r="244" s="1" customFormat="1" ht="21.75" customHeight="1" spans="1:7">
      <c r="A244" s="516" t="s">
        <v>280</v>
      </c>
      <c r="B244" s="548"/>
      <c r="C244" s="544"/>
      <c r="D244" s="545"/>
      <c r="E244" s="549"/>
      <c r="F244" s="544">
        <f>SUMIFS('项目支出总表（开）'!V:V,'项目支出总表（开）'!C:C,MID(TRIM(A244),2,7))+SUMIFS('基本支出总表（开）'!M:M,'基本支出总表（开）'!C:C,MID(TRIM(A244),2,7))</f>
        <v>8</v>
      </c>
      <c r="G244" s="547">
        <f>SUMIFS('项目支出总表（铁）'!U:U,'项目支出总表（铁）'!C:C,MID(TRIM(A244),2,7))+SUMIFS('基本支出总表（铁）'!M:M,'基本支出总表（铁）'!C:C,MID(TRIM(A244),2,7))</f>
        <v>0</v>
      </c>
    </row>
    <row r="245" s="1" customFormat="1" ht="21.75" customHeight="1" spans="1:7">
      <c r="A245" s="514" t="s">
        <v>281</v>
      </c>
      <c r="B245" s="543"/>
      <c r="C245" s="544">
        <v>145.7</v>
      </c>
      <c r="D245" s="545"/>
      <c r="E245" s="546"/>
      <c r="F245" s="544">
        <f>SUMIFS('项目支出总表（开）'!V:V,'项目支出总表（开）'!C:C,MID(TRIM(A245),2,7))+SUMIFS('基本支出总表（开）'!M:M,'基本支出总表（开）'!C:C,MID(TRIM(A245),2,7))</f>
        <v>93.309376</v>
      </c>
      <c r="G245" s="547">
        <f>SUMIFS('项目支出总表（铁）'!U:U,'项目支出总表（铁）'!C:C,MID(TRIM(A245),2,7))+SUMIFS('基本支出总表（铁）'!M:M,'基本支出总表（铁）'!C:C,MID(TRIM(A245),2,7))</f>
        <v>0</v>
      </c>
    </row>
    <row r="246" s="1" customFormat="1" ht="21.75" customHeight="1" spans="1:7">
      <c r="A246" s="516" t="s">
        <v>282</v>
      </c>
      <c r="B246" s="548"/>
      <c r="C246" s="544"/>
      <c r="D246" s="545"/>
      <c r="E246" s="549"/>
      <c r="F246" s="544">
        <f>SUMIFS('项目支出总表（开）'!V:V,'项目支出总表（开）'!C:C,MID(TRIM(A246),2,7))+SUMIFS('基本支出总表（开）'!M:M,'基本支出总表（开）'!C:C,MID(TRIM(A246),2,7))</f>
        <v>94</v>
      </c>
      <c r="G246" s="547">
        <f>SUMIFS('项目支出总表（铁）'!U:U,'项目支出总表（铁）'!C:C,MID(TRIM(A246),2,7))+SUMIFS('基本支出总表（铁）'!M:M,'基本支出总表（铁）'!C:C,MID(TRIM(A246),2,7))</f>
        <v>0</v>
      </c>
    </row>
    <row r="247" s="1" customFormat="1" ht="21.75" customHeight="1" spans="1:7">
      <c r="A247" s="514" t="s">
        <v>283</v>
      </c>
      <c r="B247" s="543"/>
      <c r="C247" s="544">
        <v>1236.84</v>
      </c>
      <c r="D247" s="545"/>
      <c r="E247" s="546"/>
      <c r="F247" s="544">
        <f>SUMIFS('项目支出总表（开）'!V:V,'项目支出总表（开）'!C:C,MID(TRIM(A247),2,7))+SUMIFS('基本支出总表（开）'!M:M,'基本支出总表（开）'!C:C,MID(TRIM(A247),2,7))</f>
        <v>575.769673</v>
      </c>
      <c r="G247" s="547">
        <f>SUMIFS('项目支出总表（铁）'!U:U,'项目支出总表（铁）'!C:C,MID(TRIM(A247),2,7))+SUMIFS('基本支出总表（铁）'!M:M,'基本支出总表（铁）'!C:C,MID(TRIM(A247),2,7))</f>
        <v>0</v>
      </c>
    </row>
    <row r="248" s="1" customFormat="1" ht="21.75" customHeight="1" spans="1:7">
      <c r="A248" s="512" t="s">
        <v>284</v>
      </c>
      <c r="B248" s="542">
        <f>C248+D248</f>
        <v>530.725013</v>
      </c>
      <c r="C248" s="542">
        <f t="shared" ref="C248:G248" si="102">SUM(C249:C254)</f>
        <v>530.725013</v>
      </c>
      <c r="D248" s="542">
        <f t="shared" si="102"/>
        <v>0</v>
      </c>
      <c r="E248" s="542">
        <f>F248+G248</f>
        <v>418.157713</v>
      </c>
      <c r="F248" s="542">
        <f t="shared" si="102"/>
        <v>353.157713</v>
      </c>
      <c r="G248" s="542">
        <f t="shared" si="102"/>
        <v>65</v>
      </c>
    </row>
    <row r="249" s="1" customFormat="1" ht="21.75" customHeight="1" spans="1:7">
      <c r="A249" s="514" t="s">
        <v>285</v>
      </c>
      <c r="B249" s="543"/>
      <c r="C249" s="544">
        <v>230.725013</v>
      </c>
      <c r="D249" s="545"/>
      <c r="E249" s="546"/>
      <c r="F249" s="544">
        <f>SUMIFS('项目支出总表（开）'!V:V,'项目支出总表（开）'!C:C,MID(TRIM(A249),2,7))+SUMIFS('基本支出总表（开）'!M:M,'基本支出总表（开）'!C:C,MID(TRIM(A249),2,7))</f>
        <v>262.565013</v>
      </c>
      <c r="G249" s="547">
        <f>SUMIFS('项目支出总表（铁）'!U:U,'项目支出总表（铁）'!C:C,MID(TRIM(A249),2,7))+SUMIFS('基本支出总表（铁）'!M:M,'基本支出总表（铁）'!C:C,MID(TRIM(A249),2,7))</f>
        <v>0</v>
      </c>
    </row>
    <row r="250" s="1" customFormat="1" ht="21.75" customHeight="1" spans="1:7">
      <c r="A250" s="516" t="s">
        <v>286</v>
      </c>
      <c r="B250" s="548"/>
      <c r="C250" s="544"/>
      <c r="D250" s="545"/>
      <c r="E250" s="549"/>
      <c r="F250" s="544">
        <f>SUMIFS('项目支出总表（开）'!V:V,'项目支出总表（开）'!C:C,MID(TRIM(A250),2,7))+SUMIFS('基本支出总表（开）'!M:M,'基本支出总表（开）'!C:C,MID(TRIM(A250),2,7))</f>
        <v>20</v>
      </c>
      <c r="G250" s="547">
        <f>SUMIFS('项目支出总表（铁）'!U:U,'项目支出总表（铁）'!C:C,MID(TRIM(A250),2,7))+SUMIFS('基本支出总表（铁）'!M:M,'基本支出总表（铁）'!C:C,MID(TRIM(A250),2,7))</f>
        <v>0</v>
      </c>
    </row>
    <row r="251" s="1" customFormat="1" ht="21.75" customHeight="1" spans="1:7">
      <c r="A251" s="516" t="s">
        <v>287</v>
      </c>
      <c r="B251" s="548"/>
      <c r="C251" s="544"/>
      <c r="D251" s="545">
        <f>VLOOKUP(A251,'02-2功能项级分类（铁）'!$A$6:$B$82,2,0)</f>
        <v>0</v>
      </c>
      <c r="E251" s="549"/>
      <c r="F251" s="544">
        <f>SUMIFS('项目支出总表（开）'!V:V,'项目支出总表（开）'!C:C,MID(TRIM(A251),2,7))+SUMIFS('基本支出总表（开）'!M:M,'基本支出总表（开）'!C:C,MID(TRIM(A251),2,7))</f>
        <v>20.4572</v>
      </c>
      <c r="G251" s="547">
        <f>SUMIFS('项目支出总表（铁）'!U:U,'项目支出总表（铁）'!C:C,MID(TRIM(A251),2,7))+SUMIFS('基本支出总表（铁）'!M:M,'基本支出总表（铁）'!C:C,MID(TRIM(A251),2,7))</f>
        <v>65</v>
      </c>
    </row>
    <row r="252" s="1" customFormat="1" ht="21.75" customHeight="1" spans="1:7">
      <c r="A252" s="516" t="s">
        <v>288</v>
      </c>
      <c r="B252" s="548"/>
      <c r="C252" s="544"/>
      <c r="D252" s="545"/>
      <c r="E252" s="549"/>
      <c r="F252" s="544">
        <f>SUMIFS('项目支出总表（开）'!V:V,'项目支出总表（开）'!C:C,MID(TRIM(A252),2,7))+SUMIFS('基本支出总表（开）'!M:M,'基本支出总表（开）'!C:C,MID(TRIM(A252),2,7))</f>
        <v>20</v>
      </c>
      <c r="G252" s="547">
        <f>SUMIFS('项目支出总表（铁）'!U:U,'项目支出总表（铁）'!C:C,MID(TRIM(A252),2,7))+SUMIFS('基本支出总表（铁）'!M:M,'基本支出总表（铁）'!C:C,MID(TRIM(A252),2,7))</f>
        <v>0</v>
      </c>
    </row>
    <row r="253" s="1" customFormat="1" ht="21.75" customHeight="1" spans="1:7">
      <c r="A253" s="516" t="s">
        <v>289</v>
      </c>
      <c r="B253" s="548"/>
      <c r="C253" s="544"/>
      <c r="D253" s="545"/>
      <c r="E253" s="549"/>
      <c r="F253" s="544">
        <f>SUMIFS('项目支出总表（开）'!V:V,'项目支出总表（开）'!C:C,MID(TRIM(A253),2,7))+SUMIFS('基本支出总表（开）'!M:M,'基本支出总表（开）'!C:C,MID(TRIM(A253),2,7))</f>
        <v>3.5355</v>
      </c>
      <c r="G253" s="547">
        <f>SUMIFS('项目支出总表（铁）'!U:U,'项目支出总表（铁）'!C:C,MID(TRIM(A253),2,7))+SUMIFS('基本支出总表（铁）'!M:M,'基本支出总表（铁）'!C:C,MID(TRIM(A253),2,7))</f>
        <v>0</v>
      </c>
    </row>
    <row r="254" s="1" customFormat="1" ht="21.75" customHeight="1" spans="1:7">
      <c r="A254" s="514" t="s">
        <v>290</v>
      </c>
      <c r="B254" s="543"/>
      <c r="C254" s="544">
        <v>300</v>
      </c>
      <c r="D254" s="545"/>
      <c r="E254" s="546"/>
      <c r="F254" s="544">
        <f>SUMIFS('项目支出总表（开）'!V:V,'项目支出总表（开）'!C:C,MID(TRIM(A254),2,7))+SUMIFS('基本支出总表（开）'!M:M,'基本支出总表（开）'!C:C,MID(TRIM(A254),2,7))</f>
        <v>26.6</v>
      </c>
      <c r="G254" s="547">
        <f>SUMIFS('项目支出总表（铁）'!U:U,'项目支出总表（铁）'!C:C,MID(TRIM(A254),2,7))+SUMIFS('基本支出总表（铁）'!M:M,'基本支出总表（铁）'!C:C,MID(TRIM(A254),2,7))</f>
        <v>0</v>
      </c>
    </row>
    <row r="255" s="1" customFormat="1" ht="21.75" customHeight="1" spans="1:7">
      <c r="A255" s="512" t="s">
        <v>291</v>
      </c>
      <c r="B255" s="542">
        <f>C255+D255</f>
        <v>457.986313</v>
      </c>
      <c r="C255" s="542">
        <f t="shared" ref="C255:G255" si="103">SUM(C256:C260)</f>
        <v>457.986313</v>
      </c>
      <c r="D255" s="542">
        <f t="shared" si="103"/>
        <v>0</v>
      </c>
      <c r="E255" s="542">
        <f>F255+G255</f>
        <v>276.836313</v>
      </c>
      <c r="F255" s="542">
        <f t="shared" si="103"/>
        <v>276.836313</v>
      </c>
      <c r="G255" s="542">
        <f t="shared" si="103"/>
        <v>0</v>
      </c>
    </row>
    <row r="256" s="1" customFormat="1" ht="21.75" customHeight="1" spans="1:7">
      <c r="A256" s="514" t="s">
        <v>292</v>
      </c>
      <c r="B256" s="543"/>
      <c r="C256" s="544">
        <v>77.986313</v>
      </c>
      <c r="D256" s="545"/>
      <c r="E256" s="546"/>
      <c r="F256" s="544">
        <f>SUMIFS('项目支出总表（开）'!V:V,'项目支出总表（开）'!C:C,MID(TRIM(A256),2,7))+SUMIFS('基本支出总表（开）'!M:M,'基本支出总表（开）'!C:C,MID(TRIM(A256),2,7))</f>
        <v>111.986313</v>
      </c>
      <c r="G256" s="547">
        <f>SUMIFS('项目支出总表（铁）'!U:U,'项目支出总表（铁）'!C:C,MID(TRIM(A256),2,7))+SUMIFS('基本支出总表（铁）'!M:M,'基本支出总表（铁）'!C:C,MID(TRIM(A256),2,7))</f>
        <v>0</v>
      </c>
    </row>
    <row r="257" s="1" customFormat="1" ht="21.75" customHeight="1" spans="1:7">
      <c r="A257" s="516" t="s">
        <v>293</v>
      </c>
      <c r="B257" s="548"/>
      <c r="C257" s="544"/>
      <c r="D257" s="545"/>
      <c r="E257" s="549"/>
      <c r="F257" s="544">
        <f>SUMIFS('项目支出总表（开）'!V:V,'项目支出总表（开）'!C:C,MID(TRIM(A257),2,7))+SUMIFS('基本支出总表（开）'!M:M,'基本支出总表（开）'!C:C,MID(TRIM(A257),2,7))</f>
        <v>20.85</v>
      </c>
      <c r="G257" s="547">
        <f>SUMIFS('项目支出总表（铁）'!U:U,'项目支出总表（铁）'!C:C,MID(TRIM(A257),2,7))+SUMIFS('基本支出总表（铁）'!M:M,'基本支出总表（铁）'!C:C,MID(TRIM(A257),2,7))</f>
        <v>0</v>
      </c>
    </row>
    <row r="258" s="1" customFormat="1" ht="21.75" customHeight="1" spans="1:7">
      <c r="A258" s="514" t="s">
        <v>294</v>
      </c>
      <c r="B258" s="543"/>
      <c r="C258" s="544">
        <v>24</v>
      </c>
      <c r="D258" s="545"/>
      <c r="E258" s="546"/>
      <c r="F258" s="544">
        <f>SUMIFS('项目支出总表（开）'!V:V,'项目支出总表（开）'!C:C,MID(TRIM(A258),2,7))+SUMIFS('基本支出总表（开）'!M:M,'基本支出总表（开）'!C:C,MID(TRIM(A258),2,7))</f>
        <v>13</v>
      </c>
      <c r="G258" s="547">
        <f>SUMIFS('项目支出总表（铁）'!U:U,'项目支出总表（铁）'!C:C,MID(TRIM(A258),2,7))+SUMIFS('基本支出总表（铁）'!M:M,'基本支出总表（铁）'!C:C,MID(TRIM(A258),2,7))</f>
        <v>0</v>
      </c>
    </row>
    <row r="259" s="1" customFormat="1" ht="21.75" customHeight="1" spans="1:7">
      <c r="A259" s="516" t="s">
        <v>295</v>
      </c>
      <c r="B259" s="548"/>
      <c r="C259" s="544"/>
      <c r="D259" s="545"/>
      <c r="E259" s="549"/>
      <c r="F259" s="544">
        <f>SUMIFS('项目支出总表（开）'!V:V,'项目支出总表（开）'!C:C,MID(TRIM(A259),2,7))+SUMIFS('基本支出总表（开）'!M:M,'基本支出总表（开）'!C:C,MID(TRIM(A259),2,7))</f>
        <v>66</v>
      </c>
      <c r="G259" s="547">
        <f>SUMIFS('项目支出总表（铁）'!U:U,'项目支出总表（铁）'!C:C,MID(TRIM(A259),2,7))+SUMIFS('基本支出总表（铁）'!M:M,'基本支出总表（铁）'!C:C,MID(TRIM(A259),2,7))</f>
        <v>0</v>
      </c>
    </row>
    <row r="260" s="1" customFormat="1" ht="21.75" customHeight="1" spans="1:7">
      <c r="A260" s="514" t="s">
        <v>296</v>
      </c>
      <c r="B260" s="543"/>
      <c r="C260" s="544">
        <v>356</v>
      </c>
      <c r="D260" s="545"/>
      <c r="E260" s="546"/>
      <c r="F260" s="544">
        <f>SUMIFS('项目支出总表（开）'!V:V,'项目支出总表（开）'!C:C,MID(TRIM(A260),2,7))+SUMIFS('基本支出总表（开）'!M:M,'基本支出总表（开）'!C:C,MID(TRIM(A260),2,7))</f>
        <v>65</v>
      </c>
      <c r="G260" s="547">
        <f>SUMIFS('项目支出总表（铁）'!U:U,'项目支出总表（铁）'!C:C,MID(TRIM(A260),2,7))+SUMIFS('基本支出总表（铁）'!M:M,'基本支出总表（铁）'!C:C,MID(TRIM(A260),2,7))</f>
        <v>0</v>
      </c>
    </row>
    <row r="261" s="1" customFormat="1" ht="21.75" customHeight="1" spans="1:7">
      <c r="A261" s="512" t="s">
        <v>297</v>
      </c>
      <c r="B261" s="542">
        <f>C261+D261</f>
        <v>3973</v>
      </c>
      <c r="C261" s="542">
        <f>SUM(C262:C265)</f>
        <v>3973</v>
      </c>
      <c r="D261" s="542">
        <f>SUM(D262:D265)</f>
        <v>0</v>
      </c>
      <c r="E261" s="542">
        <f>F261+G261</f>
        <v>7742.7676</v>
      </c>
      <c r="F261" s="542">
        <f>SUM(F262:F265)</f>
        <v>7742.7676</v>
      </c>
      <c r="G261" s="542">
        <f>SUM(G262:G265)</f>
        <v>0</v>
      </c>
    </row>
    <row r="262" s="1" customFormat="1" ht="21.75" customHeight="1" spans="1:7">
      <c r="A262" s="514" t="s">
        <v>298</v>
      </c>
      <c r="B262" s="543"/>
      <c r="C262" s="544">
        <v>3623</v>
      </c>
      <c r="D262" s="545"/>
      <c r="E262" s="546"/>
      <c r="F262" s="544">
        <f>SUMIFS('项目支出总表（开）'!V:V,'项目支出总表（开）'!C:C,MID(TRIM(A262),2,7))+SUMIFS('基本支出总表（开）'!M:M,'基本支出总表（开）'!C:C,MID(TRIM(A262),2,7))</f>
        <v>3289</v>
      </c>
      <c r="G262" s="547">
        <f>SUMIFS('项目支出总表（铁）'!U:U,'项目支出总表（铁）'!C:C,MID(TRIM(A262),2,7))+SUMIFS('基本支出总表（铁）'!M:M,'基本支出总表（铁）'!C:C,MID(TRIM(A262),2,7))</f>
        <v>0</v>
      </c>
    </row>
    <row r="263" s="1" customFormat="1" ht="21.75" customHeight="1" spans="1:7">
      <c r="A263" s="516" t="s">
        <v>299</v>
      </c>
      <c r="B263" s="548"/>
      <c r="C263" s="544"/>
      <c r="D263" s="545"/>
      <c r="E263" s="549"/>
      <c r="F263" s="544">
        <f>SUMIFS('项目支出总表（开）'!V:V,'项目支出总表（开）'!C:C,MID(TRIM(A263),2,7))+SUMIFS('基本支出总表（开）'!M:M,'基本支出总表（开）'!C:C,MID(TRIM(A263),2,7))</f>
        <v>1292</v>
      </c>
      <c r="G263" s="547">
        <f>SUMIFS('项目支出总表（铁）'!U:U,'项目支出总表（铁）'!C:C,MID(TRIM(A263),2,7))+SUMIFS('基本支出总表（铁）'!M:M,'基本支出总表（铁）'!C:C,MID(TRIM(A263),2,7))</f>
        <v>0</v>
      </c>
    </row>
    <row r="264" s="1" customFormat="1" ht="21.75" customHeight="1" spans="1:7">
      <c r="A264" s="516" t="s">
        <v>300</v>
      </c>
      <c r="B264" s="548"/>
      <c r="C264" s="544"/>
      <c r="D264" s="545"/>
      <c r="E264" s="549"/>
      <c r="F264" s="544">
        <f>SUMIFS('项目支出总表（开）'!V:V,'项目支出总表（开）'!C:C,MID(TRIM(A264),2,7))+SUMIFS('基本支出总表（开）'!M:M,'基本支出总表（开）'!C:C,MID(TRIM(A264),2,7))</f>
        <v>69</v>
      </c>
      <c r="G264" s="547"/>
    </row>
    <row r="265" s="1" customFormat="1" ht="21.75" customHeight="1" spans="1:7">
      <c r="A265" s="514" t="s">
        <v>301</v>
      </c>
      <c r="B265" s="543"/>
      <c r="C265" s="544">
        <v>350</v>
      </c>
      <c r="D265" s="545"/>
      <c r="E265" s="546"/>
      <c r="F265" s="544">
        <f>SUMIFS('项目支出总表（开）'!V:V,'项目支出总表（开）'!C:C,MID(TRIM(A265),2,7))+SUMIFS('基本支出总表（开）'!M:M,'基本支出总表（开）'!C:C,MID(TRIM(A265),2,7))</f>
        <v>3092.7676</v>
      </c>
      <c r="G265" s="547">
        <f>SUMIFS('项目支出总表（铁）'!U:U,'项目支出总表（铁）'!C:C,MID(TRIM(A265),2,7))+SUMIFS('基本支出总表（铁）'!M:M,'基本支出总表（铁）'!C:C,MID(TRIM(A265),2,7))</f>
        <v>0</v>
      </c>
    </row>
    <row r="266" s="1" customFormat="1" ht="21.75" customHeight="1" spans="1:7">
      <c r="A266" s="512" t="s">
        <v>302</v>
      </c>
      <c r="B266" s="542">
        <f>C266+D266</f>
        <v>2953.48</v>
      </c>
      <c r="C266" s="542">
        <f t="shared" ref="C266:G266" si="104">SUM(C267:C269)</f>
        <v>2953.48</v>
      </c>
      <c r="D266" s="542">
        <f t="shared" si="104"/>
        <v>0</v>
      </c>
      <c r="E266" s="542">
        <f>F266+G266</f>
        <v>3843.913</v>
      </c>
      <c r="F266" s="542">
        <f t="shared" si="104"/>
        <v>3843.913</v>
      </c>
      <c r="G266" s="542">
        <f t="shared" si="104"/>
        <v>0</v>
      </c>
    </row>
    <row r="267" s="1" customFormat="1" ht="21.75" customHeight="1" spans="1:7">
      <c r="A267" s="516" t="s">
        <v>303</v>
      </c>
      <c r="B267" s="548"/>
      <c r="C267" s="544"/>
      <c r="D267" s="545"/>
      <c r="E267" s="549"/>
      <c r="F267" s="544">
        <f>SUMIFS('项目支出总表（开）'!V:V,'项目支出总表（开）'!C:C,MID(TRIM(A267),2,7))+SUMIFS('基本支出总表（开）'!M:M,'基本支出总表（开）'!C:C,MID(TRIM(A267),2,7))</f>
        <v>66</v>
      </c>
      <c r="G267" s="547">
        <f>SUMIFS('项目支出总表（铁）'!U:U,'项目支出总表（铁）'!C:C,MID(TRIM(A267),2,7))+SUMIFS('基本支出总表（铁）'!M:M,'基本支出总表（铁）'!C:C,MID(TRIM(A267),2,7))</f>
        <v>0</v>
      </c>
    </row>
    <row r="268" s="1" customFormat="1" ht="21.75" customHeight="1" spans="1:7">
      <c r="A268" s="514" t="s">
        <v>304</v>
      </c>
      <c r="B268" s="543"/>
      <c r="C268" s="544">
        <v>2950.78</v>
      </c>
      <c r="D268" s="545"/>
      <c r="E268" s="546"/>
      <c r="F268" s="544">
        <f>SUMIFS('项目支出总表（开）'!V:V,'项目支出总表（开）'!C:C,MID(TRIM(A268),2,7))+SUMIFS('基本支出总表（开）'!M:M,'基本支出总表（开）'!C:C,MID(TRIM(A268),2,7))</f>
        <v>3775.213</v>
      </c>
      <c r="G268" s="547">
        <f>SUMIFS('项目支出总表（铁）'!U:U,'项目支出总表（铁）'!C:C,MID(TRIM(A268),2,7))+SUMIFS('基本支出总表（铁）'!M:M,'基本支出总表（铁）'!C:C,MID(TRIM(A268),2,7))</f>
        <v>0</v>
      </c>
    </row>
    <row r="269" s="1" customFormat="1" ht="21.75" customHeight="1" spans="1:7">
      <c r="A269" s="514" t="s">
        <v>305</v>
      </c>
      <c r="B269" s="543"/>
      <c r="C269" s="544">
        <v>2.7</v>
      </c>
      <c r="D269" s="545"/>
      <c r="E269" s="546"/>
      <c r="F269" s="544">
        <f>SUMIFS('项目支出总表（开）'!V:V,'项目支出总表（开）'!C:C,MID(TRIM(A269),2,7))+SUMIFS('基本支出总表（开）'!M:M,'基本支出总表（开）'!C:C,MID(TRIM(A269),2,7))</f>
        <v>2.7</v>
      </c>
      <c r="G269" s="547">
        <f>SUMIFS('项目支出总表（铁）'!U:U,'项目支出总表（铁）'!C:C,MID(TRIM(A269),2,7))+SUMIFS('基本支出总表（铁）'!M:M,'基本支出总表（铁）'!C:C,MID(TRIM(A269),2,7))</f>
        <v>0</v>
      </c>
    </row>
    <row r="270" s="1" customFormat="1" ht="21.75" customHeight="1" spans="1:7">
      <c r="A270" s="512" t="s">
        <v>306</v>
      </c>
      <c r="B270" s="542">
        <f t="shared" ref="B270:B275" si="105">C270+D270</f>
        <v>2</v>
      </c>
      <c r="C270" s="542">
        <f t="shared" ref="C270:G270" si="106">SUM(C271)</f>
        <v>2</v>
      </c>
      <c r="D270" s="542">
        <f t="shared" si="106"/>
        <v>0</v>
      </c>
      <c r="E270" s="542">
        <f t="shared" ref="E270:E275" si="107">F270+G270</f>
        <v>57.044406</v>
      </c>
      <c r="F270" s="542">
        <f t="shared" si="106"/>
        <v>57.044406</v>
      </c>
      <c r="G270" s="542">
        <f t="shared" si="106"/>
        <v>0</v>
      </c>
    </row>
    <row r="271" s="1" customFormat="1" ht="21.75" customHeight="1" spans="1:7">
      <c r="A271" s="514" t="s">
        <v>307</v>
      </c>
      <c r="B271" s="543"/>
      <c r="C271" s="544">
        <v>2</v>
      </c>
      <c r="D271" s="545"/>
      <c r="E271" s="546"/>
      <c r="F271" s="544">
        <f>SUMIFS('项目支出总表（开）'!V:V,'项目支出总表（开）'!C:C,MID(TRIM(A271),2,7))+SUMIFS('基本支出总表（开）'!M:M,'基本支出总表（开）'!C:C,MID(TRIM(A271),2,7))</f>
        <v>57.044406</v>
      </c>
      <c r="G271" s="547">
        <f>SUMIFS('项目支出总表（铁）'!U:U,'项目支出总表（铁）'!C:C,MID(TRIM(A271),2,7))+SUMIFS('基本支出总表（铁）'!M:M,'基本支出总表（铁）'!C:C,MID(TRIM(A271),2,7))</f>
        <v>0</v>
      </c>
    </row>
    <row r="272" s="1" customFormat="1" ht="21.75" customHeight="1" spans="1:7">
      <c r="A272" s="517" t="s">
        <v>308</v>
      </c>
      <c r="B272" s="542">
        <f t="shared" si="105"/>
        <v>0</v>
      </c>
      <c r="C272" s="542">
        <f t="shared" ref="C272:G272" si="108">SUM(C273)</f>
        <v>0</v>
      </c>
      <c r="D272" s="542">
        <f t="shared" si="108"/>
        <v>0</v>
      </c>
      <c r="E272" s="542">
        <f t="shared" si="107"/>
        <v>5</v>
      </c>
      <c r="F272" s="542">
        <f t="shared" si="108"/>
        <v>5</v>
      </c>
      <c r="G272" s="542">
        <f t="shared" si="108"/>
        <v>0</v>
      </c>
    </row>
    <row r="273" s="1" customFormat="1" ht="21.75" customHeight="1" spans="1:7">
      <c r="A273" s="516" t="s">
        <v>309</v>
      </c>
      <c r="B273" s="548"/>
      <c r="C273" s="544"/>
      <c r="D273" s="545"/>
      <c r="E273" s="549"/>
      <c r="F273" s="544">
        <f>SUMIFS('项目支出总表（开）'!V:V,'项目支出总表（开）'!C:C,MID(TRIM(A273),2,7))+SUMIFS('基本支出总表（开）'!M:M,'基本支出总表（开）'!C:C,MID(TRIM(A273),2,7))</f>
        <v>5</v>
      </c>
      <c r="G273" s="547">
        <f>SUMIFS('项目支出总表（铁）'!U:U,'项目支出总表（铁）'!C:C,MID(TRIM(A273),2,7))+SUMIFS('基本支出总表（铁）'!M:M,'基本支出总表（铁）'!C:C,MID(TRIM(A273),2,7))</f>
        <v>0</v>
      </c>
    </row>
    <row r="274" s="1" customFormat="1" ht="21.75" customHeight="1" spans="1:7">
      <c r="A274" s="510" t="s">
        <v>310</v>
      </c>
      <c r="B274" s="540">
        <f t="shared" si="105"/>
        <v>9</v>
      </c>
      <c r="C274" s="541">
        <f t="shared" ref="C274:G274" si="109">C275+C277</f>
        <v>9</v>
      </c>
      <c r="D274" s="541">
        <f t="shared" si="109"/>
        <v>0</v>
      </c>
      <c r="E274" s="541">
        <f t="shared" si="107"/>
        <v>1800.687375</v>
      </c>
      <c r="F274" s="541">
        <f t="shared" si="109"/>
        <v>1800.687375</v>
      </c>
      <c r="G274" s="541">
        <f t="shared" si="109"/>
        <v>0</v>
      </c>
    </row>
    <row r="275" s="1" customFormat="1" ht="21.75" customHeight="1" spans="1:7">
      <c r="A275" s="517" t="s">
        <v>311</v>
      </c>
      <c r="B275" s="542">
        <f t="shared" si="105"/>
        <v>0</v>
      </c>
      <c r="C275" s="542">
        <f t="shared" ref="C275:G275" si="110">SUM(C276)</f>
        <v>0</v>
      </c>
      <c r="D275" s="542">
        <f t="shared" si="110"/>
        <v>0</v>
      </c>
      <c r="E275" s="542">
        <f t="shared" si="107"/>
        <v>1725.287375</v>
      </c>
      <c r="F275" s="542">
        <f t="shared" si="110"/>
        <v>1725.287375</v>
      </c>
      <c r="G275" s="542">
        <f t="shared" si="110"/>
        <v>0</v>
      </c>
    </row>
    <row r="276" s="1" customFormat="1" ht="21.75" customHeight="1" spans="1:7">
      <c r="A276" s="516" t="s">
        <v>312</v>
      </c>
      <c r="B276" s="548"/>
      <c r="C276" s="544"/>
      <c r="D276" s="545"/>
      <c r="E276" s="549"/>
      <c r="F276" s="544">
        <f>SUMIFS('项目支出总表（开）'!V:V,'项目支出总表（开）'!C:C,MID(TRIM(A276),2,7))+SUMIFS('基本支出总表（开）'!M:M,'基本支出总表（开）'!C:C,MID(TRIM(A276),2,7))</f>
        <v>1725.287375</v>
      </c>
      <c r="G276" s="547">
        <f>SUMIFS('项目支出总表（铁）'!U:U,'项目支出总表（铁）'!C:C,MID(TRIM(A276),2,7))+SUMIFS('基本支出总表（铁）'!M:M,'基本支出总表（铁）'!C:C,MID(TRIM(A276),2,7))</f>
        <v>0</v>
      </c>
    </row>
    <row r="277" s="1" customFormat="1" ht="21.75" customHeight="1" spans="1:7">
      <c r="A277" s="512" t="s">
        <v>313</v>
      </c>
      <c r="B277" s="542">
        <f t="shared" ref="B277:B281" si="111">C277+D277</f>
        <v>9</v>
      </c>
      <c r="C277" s="542">
        <f t="shared" ref="C277:G277" si="112">SUM(C278:C279)</f>
        <v>9</v>
      </c>
      <c r="D277" s="542">
        <f t="shared" si="112"/>
        <v>0</v>
      </c>
      <c r="E277" s="542">
        <f t="shared" ref="E277:E281" si="113">F277+G277</f>
        <v>75.4</v>
      </c>
      <c r="F277" s="542">
        <f t="shared" si="112"/>
        <v>75.4</v>
      </c>
      <c r="G277" s="542">
        <f t="shared" si="112"/>
        <v>0</v>
      </c>
    </row>
    <row r="278" s="1" customFormat="1" ht="21.75" customHeight="1" spans="1:7">
      <c r="A278" s="514" t="s">
        <v>314</v>
      </c>
      <c r="B278" s="543"/>
      <c r="C278" s="544">
        <v>9</v>
      </c>
      <c r="D278" s="545"/>
      <c r="E278" s="546"/>
      <c r="F278" s="544">
        <f>SUMIFS('项目支出总表（开）'!V:V,'项目支出总表（开）'!C:C,MID(TRIM(A278),2,7))+SUMIFS('基本支出总表（开）'!M:M,'基本支出总表（开）'!C:C,MID(TRIM(A278),2,7))</f>
        <v>9</v>
      </c>
      <c r="G278" s="547">
        <f>SUMIFS('项目支出总表（铁）'!U:U,'项目支出总表（铁）'!C:C,MID(TRIM(A278),2,7))+SUMIFS('基本支出总表（铁）'!M:M,'基本支出总表（铁）'!C:C,MID(TRIM(A278),2,7))</f>
        <v>0</v>
      </c>
    </row>
    <row r="279" s="1" customFormat="1" ht="21.75" customHeight="1" spans="1:7">
      <c r="A279" s="516" t="s">
        <v>315</v>
      </c>
      <c r="B279" s="548"/>
      <c r="C279" s="544"/>
      <c r="D279" s="545"/>
      <c r="E279" s="549"/>
      <c r="F279" s="544">
        <f>SUMIFS('项目支出总表（开）'!V:V,'项目支出总表（开）'!C:C,MID(TRIM(A279),2,7))+SUMIFS('基本支出总表（开）'!M:M,'基本支出总表（开）'!C:C,MID(TRIM(A279),2,7))</f>
        <v>66.4</v>
      </c>
      <c r="G279" s="547">
        <f>SUMIFS('项目支出总表（铁）'!U:U,'项目支出总表（铁）'!C:C,MID(TRIM(A279),2,7))+SUMIFS('基本支出总表（铁）'!M:M,'基本支出总表（铁）'!C:C,MID(TRIM(A279),2,7))</f>
        <v>0</v>
      </c>
    </row>
    <row r="280" s="1" customFormat="1" ht="21.75" customHeight="1" spans="1:7">
      <c r="A280" s="510" t="s">
        <v>316</v>
      </c>
      <c r="B280" s="540">
        <f t="shared" si="111"/>
        <v>21032.995536</v>
      </c>
      <c r="C280" s="541">
        <f t="shared" ref="C280:G280" si="114">C281+C284+C286</f>
        <v>20926.929942</v>
      </c>
      <c r="D280" s="541">
        <f t="shared" si="114"/>
        <v>106.065594</v>
      </c>
      <c r="E280" s="541">
        <f t="shared" si="113"/>
        <v>7044.035536</v>
      </c>
      <c r="F280" s="541">
        <f t="shared" si="114"/>
        <v>6936.949942</v>
      </c>
      <c r="G280" s="541">
        <f t="shared" si="114"/>
        <v>107.085594</v>
      </c>
    </row>
    <row r="281" s="1" customFormat="1" ht="21.75" customHeight="1" spans="1:7">
      <c r="A281" s="512" t="s">
        <v>317</v>
      </c>
      <c r="B281" s="542">
        <f t="shared" si="111"/>
        <v>106.065594</v>
      </c>
      <c r="C281" s="542">
        <f t="shared" ref="C281:G281" si="115">SUM(C282:C283)</f>
        <v>0</v>
      </c>
      <c r="D281" s="542">
        <f t="shared" si="115"/>
        <v>106.065594</v>
      </c>
      <c r="E281" s="542">
        <f t="shared" si="113"/>
        <v>107.085594</v>
      </c>
      <c r="F281" s="542">
        <f t="shared" si="115"/>
        <v>0</v>
      </c>
      <c r="G281" s="542">
        <f t="shared" si="115"/>
        <v>107.085594</v>
      </c>
    </row>
    <row r="282" s="1" customFormat="1" ht="21.75" customHeight="1" spans="1:7">
      <c r="A282" s="514" t="s">
        <v>318</v>
      </c>
      <c r="B282" s="548"/>
      <c r="C282" s="544"/>
      <c r="D282" s="545">
        <v>106.065594</v>
      </c>
      <c r="E282" s="549"/>
      <c r="F282" s="544">
        <f>SUMIFS('项目支出总表（开）'!V:V,'项目支出总表（开）'!C:C,MID(TRIM(A282),2,7))+SUMIFS('基本支出总表（开）'!M:M,'基本支出总表（开）'!C:C,MID(TRIM(A282),2,7))</f>
        <v>0</v>
      </c>
      <c r="G282" s="547">
        <f>SUMIFS('项目支出总表（铁）'!U:U,'项目支出总表（铁）'!C:C,MID(TRIM(A282),2,7))+SUMIFS('基本支出总表（铁）'!M:M,'基本支出总表（铁）'!C:C,MID(TRIM(A282),2,7))</f>
        <v>106.065594</v>
      </c>
    </row>
    <row r="283" s="1" customFormat="1" ht="21.75" customHeight="1" spans="1:7">
      <c r="A283" s="516" t="s">
        <v>319</v>
      </c>
      <c r="B283" s="548"/>
      <c r="C283" s="544"/>
      <c r="D283" s="545">
        <f>VLOOKUP(A283,'02-2功能项级分类（铁）'!$A$6:$B$82,2,0)</f>
        <v>0</v>
      </c>
      <c r="E283" s="549"/>
      <c r="F283" s="544">
        <f>SUMIFS('项目支出总表（开）'!V:V,'项目支出总表（开）'!C:C,MID(TRIM(A283),2,7))+SUMIFS('基本支出总表（开）'!M:M,'基本支出总表（开）'!C:C,MID(TRIM(A283),2,7))</f>
        <v>0</v>
      </c>
      <c r="G283" s="547">
        <f>SUMIFS('项目支出总表（铁）'!U:U,'项目支出总表（铁）'!C:C,MID(TRIM(A283),2,7))+SUMIFS('基本支出总表（铁）'!M:M,'基本支出总表（铁）'!C:C,MID(TRIM(A283),2,7))</f>
        <v>1.02</v>
      </c>
    </row>
    <row r="284" s="1" customFormat="1" ht="21.75" customHeight="1" spans="1:7">
      <c r="A284" s="517" t="s">
        <v>320</v>
      </c>
      <c r="B284" s="542">
        <f>C284+D284</f>
        <v>0</v>
      </c>
      <c r="C284" s="542">
        <f t="shared" ref="C284:G284" si="116">SUM(C285)</f>
        <v>0</v>
      </c>
      <c r="D284" s="542">
        <f t="shared" si="116"/>
        <v>0</v>
      </c>
      <c r="E284" s="542">
        <f>F284+G284</f>
        <v>300</v>
      </c>
      <c r="F284" s="542">
        <f t="shared" si="116"/>
        <v>300</v>
      </c>
      <c r="G284" s="542">
        <f t="shared" si="116"/>
        <v>0</v>
      </c>
    </row>
    <row r="285" s="1" customFormat="1" ht="21.75" customHeight="1" spans="1:7">
      <c r="A285" s="516" t="s">
        <v>321</v>
      </c>
      <c r="B285" s="548"/>
      <c r="C285" s="544"/>
      <c r="D285" s="545"/>
      <c r="E285" s="549"/>
      <c r="F285" s="544">
        <f>SUMIFS('项目支出总表（开）'!V:V,'项目支出总表（开）'!C:C,MID(TRIM(A285),2,7))+SUMIFS('基本支出总表（开）'!M:M,'基本支出总表（开）'!C:C,MID(TRIM(A285),2,7))</f>
        <v>300</v>
      </c>
      <c r="G285" s="547">
        <f>SUMIFS('项目支出总表（铁）'!U:U,'项目支出总表（铁）'!C:C,MID(TRIM(A285),2,7))+SUMIFS('基本支出总表（铁）'!M:M,'基本支出总表（铁）'!C:C,MID(TRIM(A285),2,7))</f>
        <v>0</v>
      </c>
    </row>
    <row r="286" s="1" customFormat="1" ht="21.75" customHeight="1" spans="1:7">
      <c r="A286" s="512" t="s">
        <v>322</v>
      </c>
      <c r="B286" s="542">
        <f>C286+D286</f>
        <v>20926.929942</v>
      </c>
      <c r="C286" s="542">
        <f t="shared" ref="C286:G286" si="117">SUM(C287:C290)</f>
        <v>20926.929942</v>
      </c>
      <c r="D286" s="542">
        <f t="shared" si="117"/>
        <v>0</v>
      </c>
      <c r="E286" s="542">
        <f>F286+G286</f>
        <v>6636.949942</v>
      </c>
      <c r="F286" s="542">
        <f t="shared" si="117"/>
        <v>6636.949942</v>
      </c>
      <c r="G286" s="542">
        <f t="shared" si="117"/>
        <v>0</v>
      </c>
    </row>
    <row r="287" s="1" customFormat="1" ht="21.75" customHeight="1" spans="1:7">
      <c r="A287" s="514" t="s">
        <v>323</v>
      </c>
      <c r="B287" s="543"/>
      <c r="C287" s="544">
        <v>393.549942</v>
      </c>
      <c r="D287" s="545"/>
      <c r="E287" s="546"/>
      <c r="F287" s="544">
        <f>SUMIFS('项目支出总表（开）'!V:V,'项目支出总表（开）'!C:C,MID(TRIM(A287),2,7))+SUMIFS('基本支出总表（开）'!M:M,'基本支出总表（开）'!C:C,MID(TRIM(A287),2,7))</f>
        <v>393.549942</v>
      </c>
      <c r="G287" s="547">
        <f>SUMIFS('项目支出总表（铁）'!U:U,'项目支出总表（铁）'!C:C,MID(TRIM(A287),2,7))+SUMIFS('基本支出总表（铁）'!M:M,'基本支出总表（铁）'!C:C,MID(TRIM(A287),2,7))</f>
        <v>0</v>
      </c>
    </row>
    <row r="288" s="1" customFormat="1" ht="21.75" customHeight="1" spans="1:7">
      <c r="A288" s="514" t="s">
        <v>324</v>
      </c>
      <c r="B288" s="543"/>
      <c r="C288" s="544">
        <v>225.38</v>
      </c>
      <c r="D288" s="545"/>
      <c r="E288" s="546"/>
      <c r="F288" s="544">
        <f>SUMIFS('项目支出总表（开）'!V:V,'项目支出总表（开）'!C:C,MID(TRIM(A288),2,7))+SUMIFS('基本支出总表（开）'!M:M,'基本支出总表（开）'!C:C,MID(TRIM(A288),2,7))</f>
        <v>107.4</v>
      </c>
      <c r="G288" s="547">
        <f>SUMIFS('项目支出总表（铁）'!U:U,'项目支出总表（铁）'!C:C,MID(TRIM(A288),2,7))+SUMIFS('基本支出总表（铁）'!M:M,'基本支出总表（铁）'!C:C,MID(TRIM(A288),2,7))</f>
        <v>0</v>
      </c>
    </row>
    <row r="289" s="1" customFormat="1" ht="21.75" customHeight="1" spans="1:7">
      <c r="A289" s="516" t="s">
        <v>325</v>
      </c>
      <c r="B289" s="548"/>
      <c r="C289" s="544"/>
      <c r="D289" s="545"/>
      <c r="E289" s="549"/>
      <c r="F289" s="544">
        <f>SUMIFS('项目支出总表（开）'!V:V,'项目支出总表（开）'!C:C,MID(TRIM(A289),2,7))+SUMIFS('基本支出总表（开）'!M:M,'基本支出总表（开）'!C:C,MID(TRIM(A289),2,7))</f>
        <v>25</v>
      </c>
      <c r="G289" s="547">
        <f>SUMIFS('项目支出总表（铁）'!U:U,'项目支出总表（铁）'!C:C,MID(TRIM(A289),2,7))+SUMIFS('基本支出总表（铁）'!M:M,'基本支出总表（铁）'!C:C,MID(TRIM(A289),2,7))</f>
        <v>0</v>
      </c>
    </row>
    <row r="290" s="1" customFormat="1" ht="21.75" customHeight="1" spans="1:7">
      <c r="A290" s="514" t="s">
        <v>326</v>
      </c>
      <c r="B290" s="543"/>
      <c r="C290" s="544">
        <v>20308</v>
      </c>
      <c r="D290" s="545"/>
      <c r="E290" s="546"/>
      <c r="F290" s="544">
        <f>SUMIFS('项目支出总表（开）'!V:V,'项目支出总表（开）'!C:C,MID(TRIM(A290),2,7))+SUMIFS('基本支出总表（开）'!M:M,'基本支出总表（开）'!C:C,MID(TRIM(A290),2,7))</f>
        <v>6111</v>
      </c>
      <c r="G290" s="547">
        <f>SUMIFS('项目支出总表（铁）'!U:U,'项目支出总表（铁）'!C:C,MID(TRIM(A290),2,7))+SUMIFS('基本支出总表（铁）'!M:M,'基本支出总表（铁）'!C:C,MID(TRIM(A290),2,7))</f>
        <v>0</v>
      </c>
    </row>
    <row r="291" s="1" customFormat="1" ht="21.75" customHeight="1" spans="1:7">
      <c r="A291" s="518" t="s">
        <v>327</v>
      </c>
      <c r="B291" s="540">
        <f t="shared" ref="B291:B294" si="118">C291+D291</f>
        <v>0</v>
      </c>
      <c r="C291" s="541">
        <f t="shared" ref="C291:G291" si="119">C292+C294</f>
        <v>0</v>
      </c>
      <c r="D291" s="541">
        <f t="shared" si="119"/>
        <v>0</v>
      </c>
      <c r="E291" s="541">
        <f t="shared" ref="E291:E294" si="120">F291+G291</f>
        <v>825.4</v>
      </c>
      <c r="F291" s="541">
        <f t="shared" si="119"/>
        <v>825.4</v>
      </c>
      <c r="G291" s="541">
        <f t="shared" si="119"/>
        <v>0</v>
      </c>
    </row>
    <row r="292" s="1" customFormat="1" ht="21.75" customHeight="1" spans="1:7">
      <c r="A292" s="517" t="s">
        <v>328</v>
      </c>
      <c r="B292" s="542">
        <f t="shared" si="118"/>
        <v>0</v>
      </c>
      <c r="C292" s="542">
        <f t="shared" ref="C292:G292" si="121">C293</f>
        <v>0</v>
      </c>
      <c r="D292" s="542">
        <f t="shared" si="121"/>
        <v>0</v>
      </c>
      <c r="E292" s="542">
        <f t="shared" si="120"/>
        <v>25.4</v>
      </c>
      <c r="F292" s="542">
        <f t="shared" si="121"/>
        <v>25.4</v>
      </c>
      <c r="G292" s="542">
        <f t="shared" si="121"/>
        <v>0</v>
      </c>
    </row>
    <row r="293" s="1" customFormat="1" ht="21.75" customHeight="1" spans="1:7">
      <c r="A293" s="516" t="s">
        <v>329</v>
      </c>
      <c r="B293" s="548"/>
      <c r="C293" s="544"/>
      <c r="D293" s="545"/>
      <c r="E293" s="549"/>
      <c r="F293" s="544">
        <f>SUMIFS('项目支出总表（开）'!V:V,'项目支出总表（开）'!C:C,MID(TRIM(A293),2,7))+SUMIFS('基本支出总表（开）'!M:M,'基本支出总表（开）'!C:C,MID(TRIM(A293),2,7))</f>
        <v>25.4</v>
      </c>
      <c r="G293" s="547">
        <f>SUMIFS('项目支出总表（铁）'!U:U,'项目支出总表（铁）'!C:C,MID(TRIM(A293),2,7))+SUMIFS('基本支出总表（铁）'!M:M,'基本支出总表（铁）'!C:C,MID(TRIM(A293),2,7))</f>
        <v>0</v>
      </c>
    </row>
    <row r="294" s="1" customFormat="1" ht="21.75" customHeight="1" spans="1:7">
      <c r="A294" s="517" t="s">
        <v>330</v>
      </c>
      <c r="B294" s="542">
        <f t="shared" si="118"/>
        <v>0</v>
      </c>
      <c r="C294" s="542">
        <f t="shared" ref="C294:G294" si="122">C295</f>
        <v>0</v>
      </c>
      <c r="D294" s="542">
        <f t="shared" si="122"/>
        <v>0</v>
      </c>
      <c r="E294" s="542">
        <f t="shared" si="120"/>
        <v>800</v>
      </c>
      <c r="F294" s="542">
        <f t="shared" si="122"/>
        <v>800</v>
      </c>
      <c r="G294" s="542">
        <f t="shared" si="122"/>
        <v>0</v>
      </c>
    </row>
    <row r="295" s="1" customFormat="1" ht="21.75" customHeight="1" spans="1:7">
      <c r="A295" s="516" t="s">
        <v>331</v>
      </c>
      <c r="B295" s="548"/>
      <c r="C295" s="544"/>
      <c r="D295" s="545"/>
      <c r="E295" s="549"/>
      <c r="F295" s="544">
        <f>SUMIFS('项目支出总表（开）'!V:V,'项目支出总表（开）'!C:C,MID(TRIM(A295),2,7))+SUMIFS('基本支出总表（开）'!M:M,'基本支出总表（开）'!C:C,MID(TRIM(A295),2,7))</f>
        <v>800</v>
      </c>
      <c r="G295" s="547">
        <f>SUMIFS('项目支出总表（铁）'!U:U,'项目支出总表（铁）'!C:C,MID(TRIM(A295),2,7))+SUMIFS('基本支出总表（铁）'!M:M,'基本支出总表（铁）'!C:C,MID(TRIM(A295),2,7))</f>
        <v>0</v>
      </c>
    </row>
    <row r="296" s="1" customFormat="1" ht="21.75" customHeight="1" spans="1:7">
      <c r="A296" s="518" t="s">
        <v>332</v>
      </c>
      <c r="B296" s="540">
        <f t="shared" ref="B296:B300" si="123">C296+D296</f>
        <v>0</v>
      </c>
      <c r="C296" s="541">
        <f t="shared" ref="C296:G296" si="124">C297</f>
        <v>0</v>
      </c>
      <c r="D296" s="541">
        <f t="shared" si="124"/>
        <v>0</v>
      </c>
      <c r="E296" s="541">
        <f t="shared" ref="E296:E300" si="125">F296+G296</f>
        <v>71.062105</v>
      </c>
      <c r="F296" s="541">
        <f t="shared" si="124"/>
        <v>71.062105</v>
      </c>
      <c r="G296" s="541">
        <f t="shared" si="124"/>
        <v>0</v>
      </c>
    </row>
    <row r="297" s="1" customFormat="1" ht="21.75" customHeight="1" spans="1:7">
      <c r="A297" s="517" t="s">
        <v>333</v>
      </c>
      <c r="B297" s="542">
        <f t="shared" si="123"/>
        <v>0</v>
      </c>
      <c r="C297" s="542">
        <f t="shared" ref="C297:G297" si="126">C298</f>
        <v>0</v>
      </c>
      <c r="D297" s="542">
        <f t="shared" si="126"/>
        <v>0</v>
      </c>
      <c r="E297" s="542">
        <f t="shared" si="125"/>
        <v>71.062105</v>
      </c>
      <c r="F297" s="542">
        <f t="shared" si="126"/>
        <v>71.062105</v>
      </c>
      <c r="G297" s="542">
        <f t="shared" si="126"/>
        <v>0</v>
      </c>
    </row>
    <row r="298" s="1" customFormat="1" ht="21.75" customHeight="1" spans="1:7">
      <c r="A298" s="516" t="s">
        <v>334</v>
      </c>
      <c r="B298" s="548"/>
      <c r="C298" s="544"/>
      <c r="D298" s="545"/>
      <c r="E298" s="549"/>
      <c r="F298" s="544">
        <f>SUMIFS('项目支出总表（开）'!V:V,'项目支出总表（开）'!C:C,MID(TRIM(A298),2,7))+SUMIFS('基本支出总表（开）'!M:M,'基本支出总表（开）'!C:C,MID(TRIM(A298),2,7))</f>
        <v>71.062105</v>
      </c>
      <c r="G298" s="547">
        <f>SUMIFS('项目支出总表（铁）'!U:U,'项目支出总表（铁）'!C:C,MID(TRIM(A298),2,7))+SUMIFS('基本支出总表（铁）'!M:M,'基本支出总表（铁）'!C:C,MID(TRIM(A298),2,7))</f>
        <v>0</v>
      </c>
    </row>
    <row r="299" s="1" customFormat="1" ht="21.75" customHeight="1" spans="1:7">
      <c r="A299" s="510" t="s">
        <v>335</v>
      </c>
      <c r="B299" s="540">
        <f t="shared" si="123"/>
        <v>1684.454596</v>
      </c>
      <c r="C299" s="541">
        <f t="shared" ref="C299:G299" si="127">SUM(C300)</f>
        <v>1684.454596</v>
      </c>
      <c r="D299" s="541">
        <f t="shared" si="127"/>
        <v>0</v>
      </c>
      <c r="E299" s="541">
        <f t="shared" si="125"/>
        <v>6185.674596</v>
      </c>
      <c r="F299" s="541">
        <f t="shared" si="127"/>
        <v>6185.674596</v>
      </c>
      <c r="G299" s="541">
        <f t="shared" si="127"/>
        <v>0</v>
      </c>
    </row>
    <row r="300" s="1" customFormat="1" ht="21.75" customHeight="1" spans="1:7">
      <c r="A300" s="512" t="s">
        <v>336</v>
      </c>
      <c r="B300" s="542">
        <f t="shared" si="123"/>
        <v>1684.454596</v>
      </c>
      <c r="C300" s="542">
        <f t="shared" ref="C300:G300" si="128">SUM(C301:C304)</f>
        <v>1684.454596</v>
      </c>
      <c r="D300" s="542">
        <f t="shared" si="128"/>
        <v>0</v>
      </c>
      <c r="E300" s="542">
        <f t="shared" si="125"/>
        <v>6185.674596</v>
      </c>
      <c r="F300" s="542">
        <f t="shared" si="128"/>
        <v>6185.674596</v>
      </c>
      <c r="G300" s="542">
        <f t="shared" si="128"/>
        <v>0</v>
      </c>
    </row>
    <row r="301" s="1" customFormat="1" ht="21.75" customHeight="1" spans="1:7">
      <c r="A301" s="514" t="s">
        <v>337</v>
      </c>
      <c r="B301" s="543"/>
      <c r="C301" s="544">
        <v>1166.454596</v>
      </c>
      <c r="D301" s="545"/>
      <c r="E301" s="546"/>
      <c r="F301" s="544">
        <f>SUMIFS('项目支出总表（开）'!V:V,'项目支出总表（开）'!C:C,MID(TRIM(A301),2,7))+SUMIFS('基本支出总表（开）'!M:M,'基本支出总表（开）'!C:C,MID(TRIM(A301),2,7))</f>
        <v>1166.454596</v>
      </c>
      <c r="G301" s="547">
        <f>SUMIFS('项目支出总表（铁）'!U:U,'项目支出总表（铁）'!C:C,MID(TRIM(A301),2,7))+SUMIFS('基本支出总表（铁）'!M:M,'基本支出总表（铁）'!C:C,MID(TRIM(A301),2,7))</f>
        <v>0</v>
      </c>
    </row>
    <row r="302" s="1" customFormat="1" ht="21.75" customHeight="1" spans="1:7">
      <c r="A302" s="514" t="s">
        <v>338</v>
      </c>
      <c r="B302" s="543"/>
      <c r="C302" s="544">
        <v>68</v>
      </c>
      <c r="D302" s="545"/>
      <c r="E302" s="546"/>
      <c r="F302" s="544">
        <f>SUMIFS('项目支出总表（开）'!V:V,'项目支出总表（开）'!C:C,MID(TRIM(A302),2,7))+SUMIFS('基本支出总表（开）'!M:M,'基本支出总表（开）'!C:C,MID(TRIM(A302),2,7))</f>
        <v>81.84</v>
      </c>
      <c r="G302" s="547">
        <f>SUMIFS('项目支出总表（铁）'!U:U,'项目支出总表（铁）'!C:C,MID(TRIM(A302),2,7))+SUMIFS('基本支出总表（铁）'!M:M,'基本支出总表（铁）'!C:C,MID(TRIM(A302),2,7))</f>
        <v>0</v>
      </c>
    </row>
    <row r="303" s="1" customFormat="1" ht="21.75" customHeight="1" spans="1:7">
      <c r="A303" s="514" t="s">
        <v>339</v>
      </c>
      <c r="B303" s="543"/>
      <c r="C303" s="544">
        <v>450</v>
      </c>
      <c r="D303" s="545"/>
      <c r="E303" s="546"/>
      <c r="F303" s="544">
        <f>SUMIFS('项目支出总表（开）'!V:V,'项目支出总表（开）'!C:C,MID(TRIM(A303),2,7))+SUMIFS('基本支出总表（开）'!M:M,'基本支出总表（开）'!C:C,MID(TRIM(A303),2,7))</f>
        <v>4937.38</v>
      </c>
      <c r="G303" s="547">
        <f>SUMIFS('项目支出总表（铁）'!U:U,'项目支出总表（铁）'!C:C,MID(TRIM(A303),2,7))+SUMIFS('基本支出总表（铁）'!M:M,'基本支出总表（铁）'!C:C,MID(TRIM(A303),2,7))</f>
        <v>0</v>
      </c>
    </row>
    <row r="304" s="1" customFormat="1" ht="21.75" customHeight="1" spans="1:7">
      <c r="A304" s="516" t="s">
        <v>340</v>
      </c>
      <c r="B304" s="548"/>
      <c r="C304" s="544"/>
      <c r="D304" s="545"/>
      <c r="E304" s="549"/>
      <c r="F304" s="544">
        <f>SUMIFS('项目支出总表（开）'!V:V,'项目支出总表（开）'!C:C,MID(TRIM(A304),2,7))+SUMIFS('基本支出总表（开）'!M:M,'基本支出总表（开）'!C:C,MID(TRIM(A304),2,7))</f>
        <v>0</v>
      </c>
      <c r="G304" s="547">
        <f>SUMIFS('项目支出总表（铁）'!U:U,'项目支出总表（铁）'!C:C,MID(TRIM(A304),2,7))+SUMIFS('基本支出总表（铁）'!M:M,'基本支出总表（铁）'!C:C,MID(TRIM(A304),2,7))</f>
        <v>0</v>
      </c>
    </row>
    <row r="305" s="1" customFormat="1" ht="21.75" customHeight="1" spans="1:7">
      <c r="A305" s="518" t="s">
        <v>341</v>
      </c>
      <c r="B305" s="540">
        <f t="shared" ref="B305:B309" si="129">C305+D305</f>
        <v>0</v>
      </c>
      <c r="C305" s="541">
        <f t="shared" ref="C305:G305" si="130">C306+C309</f>
        <v>0</v>
      </c>
      <c r="D305" s="541">
        <f t="shared" si="130"/>
        <v>0</v>
      </c>
      <c r="E305" s="541">
        <f t="shared" ref="E305:E309" si="131">F305+G305</f>
        <v>78071</v>
      </c>
      <c r="F305" s="541">
        <f t="shared" si="130"/>
        <v>78071</v>
      </c>
      <c r="G305" s="541">
        <f t="shared" si="130"/>
        <v>0</v>
      </c>
    </row>
    <row r="306" s="1" customFormat="1" ht="21.75" customHeight="1" spans="1:7">
      <c r="A306" s="517" t="s">
        <v>342</v>
      </c>
      <c r="B306" s="542">
        <f t="shared" si="129"/>
        <v>0</v>
      </c>
      <c r="C306" s="542">
        <f t="shared" ref="C306:G306" si="132">SUM(C307:C308)</f>
        <v>0</v>
      </c>
      <c r="D306" s="542">
        <f t="shared" si="132"/>
        <v>0</v>
      </c>
      <c r="E306" s="542">
        <f t="shared" si="131"/>
        <v>77091</v>
      </c>
      <c r="F306" s="542">
        <f t="shared" si="132"/>
        <v>77091</v>
      </c>
      <c r="G306" s="542">
        <f t="shared" si="132"/>
        <v>0</v>
      </c>
    </row>
    <row r="307" s="1" customFormat="1" ht="21.75" customHeight="1" spans="1:7">
      <c r="A307" s="516" t="s">
        <v>343</v>
      </c>
      <c r="B307" s="548"/>
      <c r="C307" s="544"/>
      <c r="D307" s="545"/>
      <c r="E307" s="549"/>
      <c r="F307" s="544">
        <f>SUMIFS('项目支出总表（开）'!V:V,'项目支出总表（开）'!C:C,MID(TRIM(A307),2,7))+SUMIFS('基本支出总表（开）'!M:M,'基本支出总表（开）'!C:C,MID(TRIM(A307),2,7))</f>
        <v>11</v>
      </c>
      <c r="G307" s="547">
        <f>SUMIFS('项目支出总表（铁）'!U:U,'项目支出总表（铁）'!C:C,MID(TRIM(A307),2,7))+SUMIFS('基本支出总表（铁）'!M:M,'基本支出总表（铁）'!C:C,MID(TRIM(A307),2,7))</f>
        <v>0</v>
      </c>
    </row>
    <row r="308" s="1" customFormat="1" ht="21.75" customHeight="1" spans="1:7">
      <c r="A308" s="516" t="s">
        <v>344</v>
      </c>
      <c r="B308" s="548"/>
      <c r="C308" s="544"/>
      <c r="D308" s="545"/>
      <c r="E308" s="549"/>
      <c r="F308" s="544">
        <f>SUMIFS('项目支出总表（开）'!V:V,'项目支出总表（开）'!C:C,MID(TRIM(A308),2,7))+SUMIFS('基本支出总表（开）'!M:M,'基本支出总表（开）'!C:C,MID(TRIM(A308),2,7))</f>
        <v>77080</v>
      </c>
      <c r="G308" s="547">
        <f>SUMIFS('项目支出总表（铁）'!U:U,'项目支出总表（铁）'!C:C,MID(TRIM(A308),2,7))+SUMIFS('基本支出总表（铁）'!M:M,'基本支出总表（铁）'!C:C,MID(TRIM(A308),2,7))</f>
        <v>0</v>
      </c>
    </row>
    <row r="309" s="1" customFormat="1" ht="21.75" customHeight="1" spans="1:7">
      <c r="A309" s="517" t="s">
        <v>345</v>
      </c>
      <c r="B309" s="542">
        <f t="shared" si="129"/>
        <v>0</v>
      </c>
      <c r="C309" s="542">
        <f t="shared" ref="C309:G309" si="133">SUM(C310)</f>
        <v>0</v>
      </c>
      <c r="D309" s="542">
        <f t="shared" si="133"/>
        <v>0</v>
      </c>
      <c r="E309" s="542">
        <f t="shared" si="131"/>
        <v>980</v>
      </c>
      <c r="F309" s="542">
        <f t="shared" si="133"/>
        <v>980</v>
      </c>
      <c r="G309" s="542">
        <f t="shared" si="133"/>
        <v>0</v>
      </c>
    </row>
    <row r="310" s="1" customFormat="1" ht="21.75" customHeight="1" spans="1:7">
      <c r="A310" s="516" t="s">
        <v>346</v>
      </c>
      <c r="B310" s="548"/>
      <c r="C310" s="544"/>
      <c r="D310" s="545"/>
      <c r="E310" s="549"/>
      <c r="F310" s="544">
        <f>SUMIFS('项目支出总表（开）'!V:V,'项目支出总表（开）'!C:C,MID(TRIM(A310),2,7))+SUMIFS('基本支出总表（开）'!M:M,'基本支出总表（开）'!C:C,MID(TRIM(A310),2,7))</f>
        <v>980</v>
      </c>
      <c r="G310" s="547">
        <f>SUMIFS('项目支出总表（铁）'!U:U,'项目支出总表（铁）'!C:C,MID(TRIM(A310),2,7))+SUMIFS('基本支出总表（铁）'!M:M,'基本支出总表（铁）'!C:C,MID(TRIM(A310),2,7))</f>
        <v>0</v>
      </c>
    </row>
    <row r="311" s="1" customFormat="1" ht="21.75" customHeight="1" spans="1:7">
      <c r="A311" s="510" t="s">
        <v>347</v>
      </c>
      <c r="B311" s="540">
        <f>C311+D311</f>
        <v>1431.996375</v>
      </c>
      <c r="C311" s="541">
        <f t="shared" ref="C311:G311" si="134">C312+C320+C325+C322+C327</f>
        <v>1431.996375</v>
      </c>
      <c r="D311" s="541">
        <f t="shared" si="134"/>
        <v>0</v>
      </c>
      <c r="E311" s="541">
        <f>F311+G311</f>
        <v>2026.243415</v>
      </c>
      <c r="F311" s="541">
        <f t="shared" si="134"/>
        <v>2026.243415</v>
      </c>
      <c r="G311" s="541">
        <f t="shared" si="134"/>
        <v>0</v>
      </c>
    </row>
    <row r="312" s="1" customFormat="1" ht="21.75" customHeight="1" spans="1:7">
      <c r="A312" s="512" t="s">
        <v>348</v>
      </c>
      <c r="B312" s="542">
        <f>C312+D312</f>
        <v>697.996375</v>
      </c>
      <c r="C312" s="542">
        <f t="shared" ref="C312:G312" si="135">SUM(C313:C319)</f>
        <v>697.996375</v>
      </c>
      <c r="D312" s="542">
        <f t="shared" si="135"/>
        <v>0</v>
      </c>
      <c r="E312" s="542">
        <f>F312+G312</f>
        <v>760.528375</v>
      </c>
      <c r="F312" s="542">
        <f t="shared" si="135"/>
        <v>760.528375</v>
      </c>
      <c r="G312" s="542">
        <f t="shared" si="135"/>
        <v>0</v>
      </c>
    </row>
    <row r="313" s="1" customFormat="1" ht="21.75" customHeight="1" spans="1:7">
      <c r="A313" s="514" t="s">
        <v>349</v>
      </c>
      <c r="B313" s="543"/>
      <c r="C313" s="544">
        <v>210.396375</v>
      </c>
      <c r="D313" s="545"/>
      <c r="E313" s="546"/>
      <c r="F313" s="544">
        <f>SUMIFS('项目支出总表（开）'!V:V,'项目支出总表（开）'!C:C,MID(TRIM(A313),2,7))+SUMIFS('基本支出总表（开）'!M:M,'基本支出总表（开）'!C:C,MID(TRIM(A313),2,7))</f>
        <v>265.846375</v>
      </c>
      <c r="G313" s="547">
        <f>SUMIFS('项目支出总表（铁）'!U:U,'项目支出总表（铁）'!C:C,MID(TRIM(A313),2,7))+SUMIFS('基本支出总表（铁）'!M:M,'基本支出总表（铁）'!C:C,MID(TRIM(A313),2,7))</f>
        <v>0</v>
      </c>
    </row>
    <row r="314" s="1" customFormat="1" ht="21.75" customHeight="1" spans="1:7">
      <c r="A314" s="514" t="s">
        <v>350</v>
      </c>
      <c r="B314" s="543"/>
      <c r="C314" s="544">
        <v>2</v>
      </c>
      <c r="D314" s="545"/>
      <c r="E314" s="546"/>
      <c r="F314" s="544">
        <f>SUMIFS('项目支出总表（开）'!V:V,'项目支出总表（开）'!C:C,MID(TRIM(A314),2,7))+SUMIFS('基本支出总表（开）'!M:M,'基本支出总表（开）'!C:C,MID(TRIM(A314),2,7))</f>
        <v>3.082</v>
      </c>
      <c r="G314" s="547">
        <f>SUMIFS('项目支出总表（铁）'!U:U,'项目支出总表（铁）'!C:C,MID(TRIM(A314),2,7))+SUMIFS('基本支出总表（铁）'!M:M,'基本支出总表（铁）'!C:C,MID(TRIM(A314),2,7))</f>
        <v>0</v>
      </c>
    </row>
    <row r="315" s="1" customFormat="1" ht="21.75" customHeight="1" spans="1:7">
      <c r="A315" s="514" t="s">
        <v>351</v>
      </c>
      <c r="B315" s="543"/>
      <c r="C315" s="544">
        <v>30</v>
      </c>
      <c r="D315" s="545"/>
      <c r="E315" s="546"/>
      <c r="F315" s="544">
        <f>SUMIFS('项目支出总表（开）'!V:V,'项目支出总表（开）'!C:C,MID(TRIM(A315),2,7))+SUMIFS('基本支出总表（开）'!M:M,'基本支出总表（开）'!C:C,MID(TRIM(A315),2,7))</f>
        <v>41</v>
      </c>
      <c r="G315" s="547">
        <f>SUMIFS('项目支出总表（铁）'!U:U,'项目支出总表（铁）'!C:C,MID(TRIM(A315),2,7))+SUMIFS('基本支出总表（铁）'!M:M,'基本支出总表（铁）'!C:C,MID(TRIM(A315),2,7))</f>
        <v>0</v>
      </c>
    </row>
    <row r="316" s="1" customFormat="1" ht="21.75" customHeight="1" spans="1:7">
      <c r="A316" s="514" t="s">
        <v>352</v>
      </c>
      <c r="B316" s="543"/>
      <c r="C316" s="544">
        <v>365.6</v>
      </c>
      <c r="D316" s="545"/>
      <c r="E316" s="546"/>
      <c r="F316" s="544">
        <f>SUMIFS('项目支出总表（开）'!V:V,'项目支出总表（开）'!C:C,MID(TRIM(A316),2,7))+SUMIFS('基本支出总表（开）'!M:M,'基本支出总表（开）'!C:C,MID(TRIM(A316),2,7))</f>
        <v>365.6</v>
      </c>
      <c r="G316" s="547">
        <f>SUMIFS('项目支出总表（铁）'!U:U,'项目支出总表（铁）'!C:C,MID(TRIM(A316),2,7))+SUMIFS('基本支出总表（铁）'!M:M,'基本支出总表（铁）'!C:C,MID(TRIM(A316),2,7))</f>
        <v>0</v>
      </c>
    </row>
    <row r="317" s="1" customFormat="1" ht="21.75" customHeight="1" spans="1:7">
      <c r="A317" s="514" t="s">
        <v>353</v>
      </c>
      <c r="B317" s="543"/>
      <c r="C317" s="544">
        <v>20</v>
      </c>
      <c r="D317" s="545"/>
      <c r="E317" s="546"/>
      <c r="F317" s="544">
        <f>SUMIFS('项目支出总表（开）'!V:V,'项目支出总表（开）'!C:C,MID(TRIM(A317),2,7))+SUMIFS('基本支出总表（开）'!M:M,'基本支出总表（开）'!C:C,MID(TRIM(A317),2,7))</f>
        <v>20</v>
      </c>
      <c r="G317" s="547">
        <f>SUMIFS('项目支出总表（铁）'!U:U,'项目支出总表（铁）'!C:C,MID(TRIM(A317),2,7))+SUMIFS('基本支出总表（铁）'!M:M,'基本支出总表（铁）'!C:C,MID(TRIM(A317),2,7))</f>
        <v>0</v>
      </c>
    </row>
    <row r="318" s="1" customFormat="1" ht="21.75" customHeight="1" spans="1:7">
      <c r="A318" s="514" t="s">
        <v>354</v>
      </c>
      <c r="B318" s="543"/>
      <c r="C318" s="544">
        <v>20</v>
      </c>
      <c r="D318" s="545"/>
      <c r="E318" s="546"/>
      <c r="F318" s="544">
        <f>SUMIFS('项目支出总表（开）'!V:V,'项目支出总表（开）'!C:C,MID(TRIM(A318),2,7))+SUMIFS('基本支出总表（开）'!M:M,'基本支出总表（开）'!C:C,MID(TRIM(A318),2,7))</f>
        <v>20</v>
      </c>
      <c r="G318" s="547">
        <f>SUMIFS('项目支出总表（铁）'!U:U,'项目支出总表（铁）'!C:C,MID(TRIM(A318),2,7))+SUMIFS('基本支出总表（铁）'!M:M,'基本支出总表（铁）'!C:C,MID(TRIM(A318),2,7))</f>
        <v>0</v>
      </c>
    </row>
    <row r="319" s="1" customFormat="1" ht="21.75" customHeight="1" spans="1:7">
      <c r="A319" s="514" t="s">
        <v>355</v>
      </c>
      <c r="B319" s="543"/>
      <c r="C319" s="544">
        <v>50</v>
      </c>
      <c r="D319" s="545"/>
      <c r="E319" s="546"/>
      <c r="F319" s="544">
        <f>SUMIFS('项目支出总表（开）'!V:V,'项目支出总表（开）'!C:C,MID(TRIM(A319),2,7))+SUMIFS('基本支出总表（开）'!M:M,'基本支出总表（开）'!C:C,MID(TRIM(A319),2,7))</f>
        <v>45</v>
      </c>
      <c r="G319" s="547">
        <f>SUMIFS('项目支出总表（铁）'!U:U,'项目支出总表（铁）'!C:C,MID(TRIM(A319),2,7))+SUMIFS('基本支出总表（铁）'!M:M,'基本支出总表（铁）'!C:C,MID(TRIM(A319),2,7))</f>
        <v>0</v>
      </c>
    </row>
    <row r="320" s="1" customFormat="1" ht="21.75" customHeight="1" spans="1:7">
      <c r="A320" s="517" t="s">
        <v>356</v>
      </c>
      <c r="B320" s="542">
        <f t="shared" ref="B320:B325" si="136">C320+D320</f>
        <v>734</v>
      </c>
      <c r="C320" s="542">
        <f t="shared" ref="C320:G320" si="137">SUM(C321)</f>
        <v>734</v>
      </c>
      <c r="D320" s="542">
        <f t="shared" si="137"/>
        <v>0</v>
      </c>
      <c r="E320" s="542">
        <f t="shared" ref="E320:E325" si="138">F320+G320</f>
        <v>904</v>
      </c>
      <c r="F320" s="542">
        <f t="shared" si="137"/>
        <v>904</v>
      </c>
      <c r="G320" s="542">
        <f t="shared" si="137"/>
        <v>0</v>
      </c>
    </row>
    <row r="321" s="1" customFormat="1" ht="21.75" customHeight="1" spans="1:7">
      <c r="A321" s="516" t="s">
        <v>357</v>
      </c>
      <c r="B321" s="548"/>
      <c r="C321" s="544">
        <v>734</v>
      </c>
      <c r="D321" s="545"/>
      <c r="E321" s="549"/>
      <c r="F321" s="544">
        <f>SUMIFS('项目支出总表（开）'!V:V,'项目支出总表（开）'!C:C,MID(TRIM(A321),2,7))+SUMIFS('基本支出总表（开）'!M:M,'基本支出总表（开）'!C:C,MID(TRIM(A321),2,7))</f>
        <v>904</v>
      </c>
      <c r="G321" s="547">
        <f>SUMIFS('项目支出总表（铁）'!U:U,'项目支出总表（铁）'!C:C,MID(TRIM(A321),2,7))+SUMIFS('基本支出总表（铁）'!M:M,'基本支出总表（铁）'!C:C,MID(TRIM(A321),2,7))</f>
        <v>0</v>
      </c>
    </row>
    <row r="322" s="1" customFormat="1" ht="21.75" customHeight="1" spans="1:7">
      <c r="A322" s="517" t="s">
        <v>358</v>
      </c>
      <c r="B322" s="542">
        <f t="shared" si="136"/>
        <v>0</v>
      </c>
      <c r="C322" s="542">
        <f t="shared" ref="C322:G322" si="139">SUM(C323:C324)</f>
        <v>0</v>
      </c>
      <c r="D322" s="542">
        <f t="shared" si="139"/>
        <v>0</v>
      </c>
      <c r="E322" s="542">
        <f t="shared" si="138"/>
        <v>170.60494</v>
      </c>
      <c r="F322" s="542">
        <f t="shared" si="139"/>
        <v>170.60494</v>
      </c>
      <c r="G322" s="542">
        <f t="shared" si="139"/>
        <v>0</v>
      </c>
    </row>
    <row r="323" s="1" customFormat="1" ht="21.75" customHeight="1" spans="1:7">
      <c r="A323" s="516" t="s">
        <v>359</v>
      </c>
      <c r="B323" s="548"/>
      <c r="C323" s="544"/>
      <c r="D323" s="545"/>
      <c r="E323" s="549"/>
      <c r="F323" s="544">
        <f>SUMIFS('项目支出总表（开）'!V:V,'项目支出总表（开）'!C:C,MID(TRIM(A323),2,7))+SUMIFS('基本支出总表（开）'!M:M,'基本支出总表（开）'!C:C,MID(TRIM(A323),2,7))</f>
        <v>170.60494</v>
      </c>
      <c r="G323" s="547">
        <f>SUMIFS('项目支出总表（铁）'!U:U,'项目支出总表（铁）'!C:C,MID(TRIM(A323),2,7))+SUMIFS('基本支出总表（铁）'!M:M,'基本支出总表（铁）'!C:C,MID(TRIM(A323),2,7))</f>
        <v>0</v>
      </c>
    </row>
    <row r="324" s="1" customFormat="1" ht="21.75" customHeight="1" spans="1:7">
      <c r="A324" s="516" t="s">
        <v>360</v>
      </c>
      <c r="B324" s="548"/>
      <c r="C324" s="544"/>
      <c r="D324" s="545"/>
      <c r="E324" s="549"/>
      <c r="F324" s="544">
        <f>SUMIFS('项目支出总表（开）'!V:V,'项目支出总表（开）'!C:C,MID(TRIM(A324),2,7))+SUMIFS('基本支出总表（开）'!M:M,'基本支出总表（开）'!C:C,MID(TRIM(A324),2,7))</f>
        <v>0</v>
      </c>
      <c r="G324" s="547">
        <f>SUMIFS('项目支出总表（铁）'!U:U,'项目支出总表（铁）'!C:C,MID(TRIM(A324),2,7))+SUMIFS('基本支出总表（铁）'!M:M,'基本支出总表（铁）'!C:C,MID(TRIM(A324),2,7))</f>
        <v>0</v>
      </c>
    </row>
    <row r="325" s="1" customFormat="1" ht="21.75" customHeight="1" spans="1:7">
      <c r="A325" s="517" t="s">
        <v>361</v>
      </c>
      <c r="B325" s="542">
        <f t="shared" si="136"/>
        <v>0</v>
      </c>
      <c r="C325" s="542">
        <f t="shared" ref="C325:G325" si="140">SUM(C326)</f>
        <v>0</v>
      </c>
      <c r="D325" s="542">
        <f t="shared" si="140"/>
        <v>0</v>
      </c>
      <c r="E325" s="542">
        <f t="shared" si="138"/>
        <v>153.368</v>
      </c>
      <c r="F325" s="542">
        <f t="shared" si="140"/>
        <v>153.368</v>
      </c>
      <c r="G325" s="542">
        <f t="shared" si="140"/>
        <v>0</v>
      </c>
    </row>
    <row r="326" s="1" customFormat="1" ht="21.75" customHeight="1" spans="1:7">
      <c r="A326" s="516" t="s">
        <v>362</v>
      </c>
      <c r="B326" s="548"/>
      <c r="C326" s="544"/>
      <c r="D326" s="545"/>
      <c r="E326" s="549"/>
      <c r="F326" s="544">
        <f>SUMIFS('项目支出总表（开）'!V:V,'项目支出总表（开）'!C:C,MID(TRIM(A326),2,7))+SUMIFS('基本支出总表（开）'!M:M,'基本支出总表（开）'!C:C,MID(TRIM(A326),2,7))</f>
        <v>153.368</v>
      </c>
      <c r="G326" s="547">
        <f>SUMIFS('项目支出总表（铁）'!U:U,'项目支出总表（铁）'!C:C,MID(TRIM(A326),2,7))+SUMIFS('基本支出总表（铁）'!M:M,'基本支出总表（铁）'!C:C,MID(TRIM(A326),2,7))</f>
        <v>0</v>
      </c>
    </row>
    <row r="327" s="1" customFormat="1" ht="21.75" customHeight="1" spans="1:7">
      <c r="A327" s="517" t="s">
        <v>363</v>
      </c>
      <c r="B327" s="542">
        <f t="shared" ref="B327:B330" si="141">C327+D327</f>
        <v>0</v>
      </c>
      <c r="C327" s="542">
        <f t="shared" ref="C327:G327" si="142">SUM(C328)</f>
        <v>0</v>
      </c>
      <c r="D327" s="542">
        <f t="shared" si="142"/>
        <v>0</v>
      </c>
      <c r="E327" s="542">
        <f t="shared" ref="E327:E330" si="143">F327+G327</f>
        <v>37.7421</v>
      </c>
      <c r="F327" s="542">
        <f t="shared" si="142"/>
        <v>37.7421</v>
      </c>
      <c r="G327" s="542">
        <f t="shared" si="142"/>
        <v>0</v>
      </c>
    </row>
    <row r="328" s="1" customFormat="1" ht="21.75" customHeight="1" spans="1:7">
      <c r="A328" s="516" t="s">
        <v>364</v>
      </c>
      <c r="B328" s="548"/>
      <c r="C328" s="544"/>
      <c r="D328" s="545"/>
      <c r="E328" s="549"/>
      <c r="F328" s="544">
        <f>SUMIFS('项目支出总表（开）'!V:V,'项目支出总表（开）'!C:C,MID(TRIM(A328),2,7))+SUMIFS('基本支出总表（开）'!M:M,'基本支出总表（开）'!C:C,MID(TRIM(A328),2,7))</f>
        <v>37.7421</v>
      </c>
      <c r="G328" s="547">
        <f>SUMIFS('项目支出总表（铁）'!U:U,'项目支出总表（铁）'!C:C,MID(TRIM(A328),2,7))+SUMIFS('基本支出总表（铁）'!M:M,'基本支出总表（铁）'!C:C,MID(TRIM(A328),2,7))</f>
        <v>0</v>
      </c>
    </row>
    <row r="329" s="1" customFormat="1" ht="21.75" customHeight="1" spans="1:7">
      <c r="A329" s="510" t="s">
        <v>365</v>
      </c>
      <c r="B329" s="540">
        <f t="shared" si="141"/>
        <v>5000</v>
      </c>
      <c r="C329" s="541">
        <f t="shared" ref="C329:G329" si="144">SUM(C330)</f>
        <v>4400</v>
      </c>
      <c r="D329" s="541">
        <f t="shared" si="144"/>
        <v>600</v>
      </c>
      <c r="E329" s="541">
        <f t="shared" si="143"/>
        <v>0</v>
      </c>
      <c r="F329" s="541">
        <f t="shared" si="144"/>
        <v>0</v>
      </c>
      <c r="G329" s="541">
        <f t="shared" si="144"/>
        <v>0</v>
      </c>
    </row>
    <row r="330" s="1" customFormat="1" ht="21.75" customHeight="1" spans="1:7">
      <c r="A330" s="512" t="s">
        <v>366</v>
      </c>
      <c r="B330" s="542">
        <f t="shared" si="141"/>
        <v>5000</v>
      </c>
      <c r="C330" s="542">
        <f t="shared" ref="C330:G330" si="145">SUM(C331)</f>
        <v>4400</v>
      </c>
      <c r="D330" s="542">
        <f t="shared" si="145"/>
        <v>600</v>
      </c>
      <c r="E330" s="542">
        <f t="shared" si="143"/>
        <v>0</v>
      </c>
      <c r="F330" s="542">
        <f t="shared" si="145"/>
        <v>0</v>
      </c>
      <c r="G330" s="542">
        <f t="shared" si="145"/>
        <v>0</v>
      </c>
    </row>
    <row r="331" s="1" customFormat="1" ht="21.75" customHeight="1" spans="1:7">
      <c r="A331" s="514" t="s">
        <v>367</v>
      </c>
      <c r="B331" s="543"/>
      <c r="C331" s="544">
        <v>4400</v>
      </c>
      <c r="D331" s="545">
        <v>600</v>
      </c>
      <c r="E331" s="546"/>
      <c r="F331" s="544">
        <f>SUMIFS('项目支出总表（开）'!V:V,'项目支出总表（开）'!C:C,MID(TRIM(A331),2,7))+SUMIFS('基本支出总表（开）'!M:M,'基本支出总表（开）'!C:C,MID(TRIM(A331),2,7))</f>
        <v>0</v>
      </c>
      <c r="G331" s="547">
        <f>SUMIFS('项目支出总表（铁）'!U:U,'项目支出总表（铁）'!C:C,MID(TRIM(A331),2,3))+SUMIFS('基本支出总表（铁）'!M:M,'基本支出总表（铁）'!C:C,MID(TRIM(A331),2,3))</f>
        <v>0</v>
      </c>
    </row>
    <row r="332" s="1" customFormat="1" ht="21.75" customHeight="1" spans="1:7">
      <c r="A332" s="510" t="s">
        <v>368</v>
      </c>
      <c r="B332" s="540">
        <f t="shared" ref="B332:B335" si="146">C332+D332</f>
        <v>12235.4</v>
      </c>
      <c r="C332" s="541">
        <f t="shared" ref="C332:G332" si="147">C333+C335</f>
        <v>7080.4</v>
      </c>
      <c r="D332" s="541">
        <f t="shared" si="147"/>
        <v>5155</v>
      </c>
      <c r="E332" s="541">
        <f t="shared" ref="E332:E335" si="148">F332+G332</f>
        <v>2900.62</v>
      </c>
      <c r="F332" s="541">
        <f t="shared" si="147"/>
        <v>2272.13</v>
      </c>
      <c r="G332" s="541">
        <f t="shared" si="147"/>
        <v>628.49</v>
      </c>
    </row>
    <row r="333" s="1" customFormat="1" ht="21.75" customHeight="1" spans="1:7">
      <c r="A333" s="512" t="s">
        <v>369</v>
      </c>
      <c r="B333" s="542">
        <f t="shared" si="146"/>
        <v>8924</v>
      </c>
      <c r="C333" s="542">
        <f t="shared" ref="C333:G333" si="149">SUM(C334)</f>
        <v>7000</v>
      </c>
      <c r="D333" s="542">
        <f t="shared" si="149"/>
        <v>1924</v>
      </c>
      <c r="E333" s="542">
        <f t="shared" si="148"/>
        <v>0</v>
      </c>
      <c r="F333" s="542">
        <f t="shared" si="149"/>
        <v>0</v>
      </c>
      <c r="G333" s="542">
        <f t="shared" si="149"/>
        <v>0</v>
      </c>
    </row>
    <row r="334" s="1" customFormat="1" ht="21.75" customHeight="1" spans="1:7">
      <c r="A334" s="514" t="s">
        <v>370</v>
      </c>
      <c r="B334" s="543"/>
      <c r="C334" s="544">
        <v>7000</v>
      </c>
      <c r="D334" s="545">
        <v>1924</v>
      </c>
      <c r="E334" s="546"/>
      <c r="F334" s="544">
        <f>SUMIFS('项目支出总表（开）'!V:V,'项目支出总表（开）'!C:C,MID(TRIM(A334),2,7))+SUMIFS('基本支出总表（开）'!M:M,'基本支出总表（开）'!C:C,MID(TRIM(A334),2,7))</f>
        <v>0</v>
      </c>
      <c r="G334" s="547">
        <f>SUMIFS('项目支出总表（铁）'!U:U,'项目支出总表（铁）'!C:C,MID(TRIM(A334),2,7))+SUMIFS('基本支出总表（铁）'!M:M,'基本支出总表（铁）'!C:C,MID(TRIM(A334),2,7))</f>
        <v>0</v>
      </c>
    </row>
    <row r="335" s="1" customFormat="1" ht="21.75" customHeight="1" spans="1:7">
      <c r="A335" s="512" t="s">
        <v>371</v>
      </c>
      <c r="B335" s="542">
        <f t="shared" si="146"/>
        <v>3311.4</v>
      </c>
      <c r="C335" s="542">
        <f t="shared" ref="C335:G335" si="150">SUM(C336)</f>
        <v>80.4</v>
      </c>
      <c r="D335" s="542">
        <f t="shared" si="150"/>
        <v>3231</v>
      </c>
      <c r="E335" s="542">
        <f t="shared" si="148"/>
        <v>2900.62</v>
      </c>
      <c r="F335" s="542">
        <f t="shared" si="150"/>
        <v>2272.13</v>
      </c>
      <c r="G335" s="542">
        <f t="shared" si="150"/>
        <v>628.49</v>
      </c>
    </row>
    <row r="336" s="1" customFormat="1" ht="21.75" customHeight="1" spans="1:7">
      <c r="A336" s="514" t="s">
        <v>372</v>
      </c>
      <c r="B336" s="543"/>
      <c r="C336" s="544">
        <v>80.4</v>
      </c>
      <c r="D336" s="545">
        <v>3231</v>
      </c>
      <c r="E336" s="546"/>
      <c r="F336" s="544">
        <f>SUMIFS('项目支出总表（开）'!V:V,'项目支出总表（开）'!C:C,MID(TRIM(A336),2,7))+SUMIFS('基本支出总表（开）'!M:M,'基本支出总表（开）'!C:C,MID(TRIM(A336),2,7))</f>
        <v>2272.13</v>
      </c>
      <c r="G336" s="547">
        <f>SUMIFS('项目支出总表（铁）'!U:U,'项目支出总表（铁）'!C:C,MID(TRIM(A336),2,7))+SUMIFS('基本支出总表（铁）'!M:M,'基本支出总表（铁）'!C:C,MID(TRIM(A336),2,7))</f>
        <v>628.49</v>
      </c>
    </row>
    <row r="337" s="1" customFormat="1" ht="21.75" customHeight="1" spans="1:7">
      <c r="A337" s="510" t="s">
        <v>373</v>
      </c>
      <c r="B337" s="540">
        <f t="shared" ref="B337:B341" si="151">C337+D337</f>
        <v>21376</v>
      </c>
      <c r="C337" s="541">
        <f t="shared" ref="C337:G337" si="152">SUM(C338)</f>
        <v>20454</v>
      </c>
      <c r="D337" s="541">
        <f t="shared" si="152"/>
        <v>922</v>
      </c>
      <c r="E337" s="541">
        <f t="shared" ref="E337:E341" si="153">F337+G337</f>
        <v>21376</v>
      </c>
      <c r="F337" s="541">
        <f t="shared" si="152"/>
        <v>20454</v>
      </c>
      <c r="G337" s="541">
        <f t="shared" si="152"/>
        <v>922</v>
      </c>
    </row>
    <row r="338" s="1" customFormat="1" ht="21.75" customHeight="1" spans="1:7">
      <c r="A338" s="512" t="s">
        <v>374</v>
      </c>
      <c r="B338" s="542">
        <f t="shared" si="151"/>
        <v>21376</v>
      </c>
      <c r="C338" s="542">
        <f t="shared" ref="C338:G338" si="154">SUM(C339)</f>
        <v>20454</v>
      </c>
      <c r="D338" s="542">
        <f t="shared" si="154"/>
        <v>922</v>
      </c>
      <c r="E338" s="542">
        <f t="shared" si="153"/>
        <v>21376</v>
      </c>
      <c r="F338" s="542">
        <f t="shared" si="154"/>
        <v>20454</v>
      </c>
      <c r="G338" s="542">
        <f t="shared" si="154"/>
        <v>922</v>
      </c>
    </row>
    <row r="339" s="1" customFormat="1" ht="21.75" customHeight="1" spans="1:7">
      <c r="A339" s="514" t="s">
        <v>375</v>
      </c>
      <c r="B339" s="543"/>
      <c r="C339" s="544">
        <v>20454</v>
      </c>
      <c r="D339" s="545">
        <v>922</v>
      </c>
      <c r="E339" s="546"/>
      <c r="F339" s="544">
        <f>SUMIFS('项目支出总表（开）'!V:V,'项目支出总表（开）'!C:C,MID(TRIM(A339),2,7))+SUMIFS('基本支出总表（开）'!M:M,'基本支出总表（开）'!C:C,MID(TRIM(A339),2,7))</f>
        <v>20454</v>
      </c>
      <c r="G339" s="547">
        <f>SUMIFS('项目支出总表（铁）'!U:U,'项目支出总表（铁）'!C:C,MID(TRIM(A339),2,7))+SUMIFS('基本支出总表（铁）'!M:M,'基本支出总表（铁）'!C:C,MID(TRIM(A339),2,7))</f>
        <v>922</v>
      </c>
    </row>
    <row r="340" s="1" customFormat="1" ht="21.75" customHeight="1" spans="1:7">
      <c r="A340" s="510" t="s">
        <v>376</v>
      </c>
      <c r="B340" s="540">
        <f t="shared" si="151"/>
        <v>4600</v>
      </c>
      <c r="C340" s="541">
        <f t="shared" ref="C340:G340" si="155">SUM(C341)</f>
        <v>3940</v>
      </c>
      <c r="D340" s="541">
        <f t="shared" si="155"/>
        <v>660</v>
      </c>
      <c r="E340" s="541">
        <f t="shared" si="153"/>
        <v>3852</v>
      </c>
      <c r="F340" s="541">
        <f t="shared" si="155"/>
        <v>3350</v>
      </c>
      <c r="G340" s="541">
        <f t="shared" si="155"/>
        <v>502</v>
      </c>
    </row>
    <row r="341" s="1" customFormat="1" ht="21.75" customHeight="1" spans="1:7">
      <c r="A341" s="512" t="s">
        <v>377</v>
      </c>
      <c r="B341" s="542">
        <f t="shared" si="151"/>
        <v>4600</v>
      </c>
      <c r="C341" s="542">
        <f t="shared" ref="C341:G341" si="156">SUM(C342)</f>
        <v>3940</v>
      </c>
      <c r="D341" s="542">
        <f t="shared" si="156"/>
        <v>660</v>
      </c>
      <c r="E341" s="542">
        <f t="shared" si="153"/>
        <v>3852</v>
      </c>
      <c r="F341" s="542">
        <f t="shared" si="156"/>
        <v>3350</v>
      </c>
      <c r="G341" s="542">
        <f t="shared" si="156"/>
        <v>502</v>
      </c>
    </row>
    <row r="342" s="1" customFormat="1" ht="21.75" customHeight="1" spans="1:7">
      <c r="A342" s="514" t="s">
        <v>378</v>
      </c>
      <c r="B342" s="543"/>
      <c r="C342" s="544">
        <v>3940</v>
      </c>
      <c r="D342" s="545">
        <v>660</v>
      </c>
      <c r="E342" s="546"/>
      <c r="F342" s="544">
        <f>SUMIFS('项目支出总表（开）'!V:V,'项目支出总表（开）'!C:C,MID(TRIM(A342),2,7))+SUMIFS('基本支出总表（开）'!M:M,'基本支出总表（开）'!C:C,MID(TRIM(A342),2,7))</f>
        <v>3350</v>
      </c>
      <c r="G342" s="547">
        <f>SUMIFS('项目支出总表（铁）'!U:U,'项目支出总表（铁）'!C:C,MID(TRIM(A342),2,7))+SUMIFS('基本支出总表（铁）'!M:M,'基本支出总表（铁）'!C:C,MID(TRIM(A342),2,7))</f>
        <v>502</v>
      </c>
    </row>
    <row r="343" s="1" customFormat="1" ht="21.75" customHeight="1" spans="1:7">
      <c r="A343" s="510" t="s">
        <v>379</v>
      </c>
      <c r="B343" s="540">
        <f t="shared" ref="B343:B346" si="157">C343+D343</f>
        <v>60</v>
      </c>
      <c r="C343" s="541">
        <f t="shared" ref="C343:G343" si="158">SUM(C344)</f>
        <v>50</v>
      </c>
      <c r="D343" s="541">
        <f t="shared" si="158"/>
        <v>10</v>
      </c>
      <c r="E343" s="541">
        <f t="shared" ref="E343:E346" si="159">F343+G343</f>
        <v>60</v>
      </c>
      <c r="F343" s="541">
        <f t="shared" si="158"/>
        <v>50</v>
      </c>
      <c r="G343" s="541">
        <f t="shared" si="158"/>
        <v>10</v>
      </c>
    </row>
    <row r="344" s="1" customFormat="1" ht="21.75" customHeight="1" spans="1:7">
      <c r="A344" s="512" t="s">
        <v>380</v>
      </c>
      <c r="B344" s="542">
        <f t="shared" si="157"/>
        <v>60</v>
      </c>
      <c r="C344" s="542">
        <f t="shared" ref="C344:G344" si="160">SUM(C345)</f>
        <v>50</v>
      </c>
      <c r="D344" s="542">
        <f t="shared" si="160"/>
        <v>10</v>
      </c>
      <c r="E344" s="542">
        <f t="shared" si="159"/>
        <v>60</v>
      </c>
      <c r="F344" s="542">
        <f t="shared" si="160"/>
        <v>50</v>
      </c>
      <c r="G344" s="542">
        <f t="shared" si="160"/>
        <v>10</v>
      </c>
    </row>
    <row r="345" s="1" customFormat="1" ht="21.75" customHeight="1" spans="1:7">
      <c r="A345" s="514" t="s">
        <v>381</v>
      </c>
      <c r="B345" s="543"/>
      <c r="C345" s="544">
        <v>50</v>
      </c>
      <c r="D345" s="545">
        <v>10</v>
      </c>
      <c r="E345" s="546"/>
      <c r="F345" s="544">
        <f>SUMIFS('项目支出总表（开）'!V:V,'项目支出总表（开）'!C:C,MID(TRIM(A345),2,5))+SUMIFS('基本支出总表（开）'!M:M,'基本支出总表（开）'!C:C,MID(TRIM(A345),2,5))</f>
        <v>50</v>
      </c>
      <c r="G345" s="547">
        <f>SUMIFS('项目支出总表（铁）'!U:U,'项目支出总表（铁）'!C:C,MID(TRIM(A345),2,5))+SUMIFS('基本支出总表（铁）'!M:M,'基本支出总表（铁）'!C:C,MID(TRIM(A345),2,5))</f>
        <v>10</v>
      </c>
    </row>
    <row r="346" ht="21.75" customHeight="1" spans="1:8">
      <c r="A346" s="525" t="s">
        <v>382</v>
      </c>
      <c r="B346" s="538">
        <f>C346+D346</f>
        <v>223752.266437</v>
      </c>
      <c r="C346" s="539">
        <f>C6+C337</f>
        <v>198203.6207</v>
      </c>
      <c r="D346" s="539">
        <f>D6+D337</f>
        <v>25548.645737</v>
      </c>
      <c r="E346" s="538">
        <f t="shared" si="159"/>
        <v>324161.557486</v>
      </c>
      <c r="F346" s="539">
        <f>F6+F337</f>
        <v>302779.341749</v>
      </c>
      <c r="G346" s="539">
        <f>G6+G337</f>
        <v>21382.215737</v>
      </c>
      <c r="H346" s="1"/>
    </row>
  </sheetData>
  <sheetProtection formatCells="0" formatColumns="0" formatRows="0" insertRows="0" insertColumns="0" insertHyperlinks="0" deleteColumns="0" deleteRows="0" sort="0" autoFilter="0" pivotTables="0"/>
  <autoFilter ref="A1:G346">
    <extLst/>
  </autoFilter>
  <mergeCells count="4">
    <mergeCell ref="A2:G2"/>
    <mergeCell ref="B4:D4"/>
    <mergeCell ref="E4:G4"/>
    <mergeCell ref="A4:A5"/>
  </mergeCells>
  <printOptions horizontalCentered="1"/>
  <pageMargins left="0.393055555555556" right="0.393055555555556" top="0.590277777777778" bottom="0.393055555555556" header="0.393055555555556" footer="0.393055555555556"/>
  <pageSetup paperSize="9" scale="95" fitToHeight="0" orientation="portrait" horizontalDpi="300" verticalDpi="3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U329"/>
  <sheetViews>
    <sheetView showZeros="0" zoomScale="90" zoomScaleNormal="90" workbookViewId="0">
      <selection activeCell="V11" sqref="V11"/>
    </sheetView>
  </sheetViews>
  <sheetFormatPr defaultColWidth="8" defaultRowHeight="12.75" customHeight="1"/>
  <cols>
    <col min="1" max="1" width="40.625" style="1" customWidth="1"/>
    <col min="2" max="12" width="10.125" style="1" customWidth="1"/>
    <col min="13" max="13" width="6.625" style="6" customWidth="1"/>
    <col min="14" max="14" width="12.625" style="6" customWidth="1"/>
    <col min="15" max="15" width="12.625" style="527" customWidth="1"/>
    <col min="16" max="17" width="12.625" style="6" customWidth="1"/>
    <col min="18" max="18" width="6.625" style="6" customWidth="1"/>
    <col min="19" max="21" width="10.125" style="1" customWidth="1"/>
    <col min="22" max="16384" width="8" style="6"/>
  </cols>
  <sheetData>
    <row r="2" s="379" customFormat="1" ht="36" customHeight="1" spans="1:21">
      <c r="A2" s="11" t="s">
        <v>383</v>
      </c>
      <c r="B2" s="11"/>
      <c r="C2" s="11"/>
      <c r="D2" s="11"/>
      <c r="E2" s="11"/>
      <c r="F2" s="11"/>
      <c r="G2" s="11"/>
      <c r="H2" s="11"/>
      <c r="I2" s="11"/>
      <c r="J2" s="11"/>
      <c r="K2" s="11"/>
      <c r="L2" s="11"/>
      <c r="O2" s="528"/>
      <c r="S2" s="11"/>
      <c r="T2" s="11"/>
      <c r="U2" s="11"/>
    </row>
    <row r="3" s="1" customFormat="1" ht="15" spans="1:21">
      <c r="A3" s="380"/>
      <c r="B3" s="380"/>
      <c r="C3" s="380"/>
      <c r="D3" s="380"/>
      <c r="E3" s="380"/>
      <c r="F3" s="380"/>
      <c r="G3" s="380"/>
      <c r="H3" s="380"/>
      <c r="I3" s="529"/>
      <c r="J3" s="380"/>
      <c r="K3" s="380"/>
      <c r="L3" s="529" t="s">
        <v>1</v>
      </c>
      <c r="O3" s="153"/>
      <c r="S3" s="380"/>
      <c r="T3" s="380"/>
      <c r="U3" s="529"/>
    </row>
    <row r="4" s="1" customFormat="1" ht="21.75" customHeight="1" spans="1:21">
      <c r="A4" s="503" t="s">
        <v>40</v>
      </c>
      <c r="B4" s="385" t="s">
        <v>384</v>
      </c>
      <c r="C4" s="385" t="s">
        <v>385</v>
      </c>
      <c r="D4" s="385"/>
      <c r="E4" s="385"/>
      <c r="F4" s="504" t="s">
        <v>386</v>
      </c>
      <c r="G4" s="505" t="s">
        <v>387</v>
      </c>
      <c r="H4" s="506"/>
      <c r="I4" s="519"/>
      <c r="J4" s="505" t="s">
        <v>388</v>
      </c>
      <c r="K4" s="506"/>
      <c r="L4" s="519"/>
      <c r="O4" s="153"/>
      <c r="S4" s="505" t="s">
        <v>389</v>
      </c>
      <c r="T4" s="506"/>
      <c r="U4" s="519"/>
    </row>
    <row r="5" s="526" customFormat="1" ht="21.75" customHeight="1" spans="1:21">
      <c r="A5" s="386"/>
      <c r="B5" s="396"/>
      <c r="C5" s="507" t="s">
        <v>390</v>
      </c>
      <c r="D5" s="507" t="s">
        <v>391</v>
      </c>
      <c r="E5" s="507" t="s">
        <v>392</v>
      </c>
      <c r="F5" s="508"/>
      <c r="G5" s="507" t="s">
        <v>384</v>
      </c>
      <c r="H5" s="507" t="s">
        <v>385</v>
      </c>
      <c r="I5" s="507" t="s">
        <v>386</v>
      </c>
      <c r="J5" s="507" t="s">
        <v>384</v>
      </c>
      <c r="K5" s="507" t="s">
        <v>385</v>
      </c>
      <c r="L5" s="507" t="s">
        <v>386</v>
      </c>
      <c r="N5" s="520"/>
      <c r="O5" s="507" t="s">
        <v>384</v>
      </c>
      <c r="P5" s="507" t="s">
        <v>385</v>
      </c>
      <c r="Q5" s="507" t="s">
        <v>386</v>
      </c>
      <c r="S5" s="507" t="s">
        <v>384</v>
      </c>
      <c r="T5" s="507" t="s">
        <v>385</v>
      </c>
      <c r="U5" s="507" t="s">
        <v>386</v>
      </c>
    </row>
    <row r="6" s="1" customFormat="1" ht="21.75" customHeight="1" spans="1:21">
      <c r="A6" s="390" t="s">
        <v>42</v>
      </c>
      <c r="B6" s="509">
        <f t="shared" ref="B6:I6" si="0">B7+B73+B76+B87+B95+B104+B116+B164+B194+B209+B220+B260+B266+B282+B288+B294+B312+B315+B323+B326+B274+B279</f>
        <v>177749.6207</v>
      </c>
      <c r="C6" s="509">
        <f t="shared" si="0"/>
        <v>42933.70428</v>
      </c>
      <c r="D6" s="509">
        <f t="shared" si="0"/>
        <v>40161.311911</v>
      </c>
      <c r="E6" s="509">
        <f t="shared" si="0"/>
        <v>2772.392369</v>
      </c>
      <c r="F6" s="509">
        <f t="shared" si="0"/>
        <v>134815.91642</v>
      </c>
      <c r="G6" s="509" t="e">
        <f t="shared" si="0"/>
        <v>#VALUE!</v>
      </c>
      <c r="H6" s="509" t="e">
        <f t="shared" si="0"/>
        <v>#VALUE!</v>
      </c>
      <c r="I6" s="509" t="e">
        <f t="shared" si="0"/>
        <v>#VALUE!</v>
      </c>
      <c r="J6" s="521" t="e">
        <f t="shared" ref="J6:J69" si="1">IF(B6=0,"",G6/B6)</f>
        <v>#VALUE!</v>
      </c>
      <c r="K6" s="521" t="e">
        <f t="shared" ref="K6:K69" si="2">IF(C6=0,"",H6/C6)</f>
        <v>#VALUE!</v>
      </c>
      <c r="L6" s="521" t="e">
        <f t="shared" ref="L6:L69" si="3">IF(F6=0,"",I6/F6)</f>
        <v>#VALUE!</v>
      </c>
      <c r="N6" s="507" t="s">
        <v>393</v>
      </c>
      <c r="O6" s="509">
        <f t="shared" ref="O6:O11" si="4">SUM(P6:Q6)</f>
        <v>34559.093048</v>
      </c>
      <c r="P6" s="509">
        <f>'[16]基本支出总表（开）'!O6</f>
        <v>34559.093048</v>
      </c>
      <c r="Q6" s="509">
        <f>'[16]项目支出总表（开）'!W6</f>
        <v>0</v>
      </c>
      <c r="S6" s="509" t="e">
        <f t="shared" ref="S6:U6" si="5">S7+S73+S76+S87+S95+S104+S116+S164+S194+S209+S220+S260+S266+S282+S288+S294+S312+S315+S323+S326+S274+S279</f>
        <v>#VALUE!</v>
      </c>
      <c r="T6" s="509" t="e">
        <f t="shared" si="5"/>
        <v>#VALUE!</v>
      </c>
      <c r="U6" s="509" t="e">
        <f t="shared" si="5"/>
        <v>#VALUE!</v>
      </c>
    </row>
    <row r="7" s="1" customFormat="1" ht="21.75" customHeight="1" spans="1:21">
      <c r="A7" s="510" t="s">
        <v>43</v>
      </c>
      <c r="B7" s="511">
        <f t="shared" ref="B7:I7" si="6">B8+B10+B13+B17+B21+B27+B29+B33+B37+B41+B43+B48+B52+B55+B60+B64+B67</f>
        <v>22847.319025</v>
      </c>
      <c r="C7" s="511">
        <f t="shared" si="6"/>
        <v>11580.769025</v>
      </c>
      <c r="D7" s="511">
        <f t="shared" si="6"/>
        <v>10382.509854</v>
      </c>
      <c r="E7" s="511">
        <f t="shared" si="6"/>
        <v>1198.259171</v>
      </c>
      <c r="F7" s="511">
        <f t="shared" si="6"/>
        <v>11266.55</v>
      </c>
      <c r="G7" s="511" t="e">
        <f t="shared" si="6"/>
        <v>#VALUE!</v>
      </c>
      <c r="H7" s="511" t="e">
        <f t="shared" si="6"/>
        <v>#VALUE!</v>
      </c>
      <c r="I7" s="511" t="e">
        <f t="shared" si="6"/>
        <v>#VALUE!</v>
      </c>
      <c r="J7" s="522" t="e">
        <f t="shared" si="1"/>
        <v>#VALUE!</v>
      </c>
      <c r="K7" s="522" t="e">
        <f t="shared" si="2"/>
        <v>#VALUE!</v>
      </c>
      <c r="L7" s="522" t="e">
        <f t="shared" si="3"/>
        <v>#VALUE!</v>
      </c>
      <c r="N7" s="507" t="s">
        <v>394</v>
      </c>
      <c r="O7" s="509">
        <f t="shared" si="4"/>
        <v>26525.886506</v>
      </c>
      <c r="P7" s="509">
        <f>'[16]基本支出总表（开）'!Q6</f>
        <v>8084.886506</v>
      </c>
      <c r="Q7" s="509">
        <f>'[16]项目支出总表（开）'!Z6</f>
        <v>18441</v>
      </c>
      <c r="S7" s="511" t="e">
        <f t="shared" ref="S7:U7" si="7">S8+S10+S13+S17+S21+S27+S29+S33+S37+S41+S43+S48+S52+S55+S60+S64+S67</f>
        <v>#VALUE!</v>
      </c>
      <c r="T7" s="511" t="e">
        <f t="shared" si="7"/>
        <v>#VALUE!</v>
      </c>
      <c r="U7" s="511" t="e">
        <f t="shared" si="7"/>
        <v>#VALUE!</v>
      </c>
    </row>
    <row r="8" s="1" customFormat="1" ht="21.75" customHeight="1" spans="1:21">
      <c r="A8" s="512" t="s">
        <v>44</v>
      </c>
      <c r="B8" s="513">
        <f t="shared" ref="B8:I8" si="8">SUM(B9)</f>
        <v>25</v>
      </c>
      <c r="C8" s="513">
        <f t="shared" si="8"/>
        <v>0</v>
      </c>
      <c r="D8" s="513">
        <f t="shared" si="8"/>
        <v>0</v>
      </c>
      <c r="E8" s="513">
        <f t="shared" si="8"/>
        <v>0</v>
      </c>
      <c r="F8" s="513">
        <f t="shared" si="8"/>
        <v>25</v>
      </c>
      <c r="G8" s="513" t="e">
        <f t="shared" si="8"/>
        <v>#VALUE!</v>
      </c>
      <c r="H8" s="513" t="e">
        <f t="shared" si="8"/>
        <v>#VALUE!</v>
      </c>
      <c r="I8" s="513" t="e">
        <f t="shared" si="8"/>
        <v>#VALUE!</v>
      </c>
      <c r="J8" s="523" t="e">
        <f t="shared" si="1"/>
        <v>#VALUE!</v>
      </c>
      <c r="K8" s="523" t="str">
        <f t="shared" si="2"/>
        <v/>
      </c>
      <c r="L8" s="523" t="e">
        <f t="shared" si="3"/>
        <v>#VALUE!</v>
      </c>
      <c r="N8" s="507" t="s">
        <v>395</v>
      </c>
      <c r="O8" s="509">
        <f t="shared" si="4"/>
        <v>77209.77775</v>
      </c>
      <c r="P8" s="509">
        <f>'[16]基本支出总表（开）'!R6</f>
        <v>32388.655144</v>
      </c>
      <c r="Q8" s="509">
        <f>'[16]项目支出总表（开）'!AA6</f>
        <v>44821.122606</v>
      </c>
      <c r="S8" s="513" t="e">
        <f t="shared" ref="S8:U8" si="9">SUM(S9)</f>
        <v>#VALUE!</v>
      </c>
      <c r="T8" s="513" t="e">
        <f t="shared" si="9"/>
        <v>#VALUE!</v>
      </c>
      <c r="U8" s="513" t="e">
        <f t="shared" si="9"/>
        <v>#VALUE!</v>
      </c>
    </row>
    <row r="9" s="1" customFormat="1" ht="21.75" customHeight="1" spans="1:21">
      <c r="A9" s="514" t="s">
        <v>48</v>
      </c>
      <c r="B9" s="515">
        <v>25</v>
      </c>
      <c r="C9" s="515"/>
      <c r="D9" s="515"/>
      <c r="E9" s="515"/>
      <c r="F9" s="515">
        <v>25</v>
      </c>
      <c r="G9" s="515" t="e">
        <f t="shared" ref="G9:G12" si="10">SUM(H9:I9)</f>
        <v>#VALUE!</v>
      </c>
      <c r="H9" s="515" t="e">
        <f>SUMIFS('[16]基本支出总表（开）'!P:P,'[16]基本支出总表（开）'!C:C,MID(A9,4,7))</f>
        <v>#VALUE!</v>
      </c>
      <c r="I9" s="515" t="e">
        <f>SUMIFS('[16]项目支出总表（开）'!Y:Y,'[16]项目支出总表（开）'!C:C,MID(A9,4,7))+SUMIFS('[16]项目支出总表（开）'!Z:Z,'[16]项目支出总表（开）'!C:C,MID(A9,4,7))</f>
        <v>#VALUE!</v>
      </c>
      <c r="J9" s="524" t="e">
        <f t="shared" si="1"/>
        <v>#VALUE!</v>
      </c>
      <c r="K9" s="524" t="str">
        <f t="shared" si="2"/>
        <v/>
      </c>
      <c r="L9" s="524" t="e">
        <f t="shared" si="3"/>
        <v>#VALUE!</v>
      </c>
      <c r="N9" s="507" t="s">
        <v>396</v>
      </c>
      <c r="O9" s="509">
        <f t="shared" si="4"/>
        <v>136359.920593</v>
      </c>
      <c r="P9" s="509">
        <f>'[16]基本支出总表（开）'!P6</f>
        <v>30785.70464</v>
      </c>
      <c r="Q9" s="509">
        <f>'[16]项目支出总表（开）'!X6</f>
        <v>105574.215953</v>
      </c>
      <c r="S9" s="515" t="e">
        <f t="shared" ref="S9:S12" si="11">SUM(T9:U9)</f>
        <v>#VALUE!</v>
      </c>
      <c r="T9" s="515" t="e">
        <f>SUMIFS('[16]基本支出总表（开）'!M:M,'[16]基本支出总表（开）'!C:C,MID(TRIM(A9),2,7))</f>
        <v>#VALUE!</v>
      </c>
      <c r="U9" s="515" t="e">
        <f>SUMIFS('[16]项目支出总表（开）'!V:V,'[16]项目支出总表（开）'!C:C,MID(TRIM(A9),2,7))</f>
        <v>#VALUE!</v>
      </c>
    </row>
    <row r="10" s="1" customFormat="1" ht="21.75" customHeight="1" spans="1:21">
      <c r="A10" s="512" t="s">
        <v>54</v>
      </c>
      <c r="B10" s="513">
        <f t="shared" ref="B10:I10" si="12">SUM(B11:B12)</f>
        <v>8452.663269</v>
      </c>
      <c r="C10" s="513">
        <f t="shared" si="12"/>
        <v>4589.333269</v>
      </c>
      <c r="D10" s="513">
        <f t="shared" si="12"/>
        <v>4030.865979</v>
      </c>
      <c r="E10" s="513">
        <f t="shared" si="12"/>
        <v>558.46729</v>
      </c>
      <c r="F10" s="513">
        <f t="shared" si="12"/>
        <v>3863.33</v>
      </c>
      <c r="G10" s="513" t="e">
        <f t="shared" si="12"/>
        <v>#VALUE!</v>
      </c>
      <c r="H10" s="513" t="e">
        <f t="shared" si="12"/>
        <v>#VALUE!</v>
      </c>
      <c r="I10" s="513" t="e">
        <f t="shared" si="12"/>
        <v>#VALUE!</v>
      </c>
      <c r="J10" s="523" t="e">
        <f t="shared" si="1"/>
        <v>#VALUE!</v>
      </c>
      <c r="K10" s="523" t="e">
        <f t="shared" si="2"/>
        <v>#VALUE!</v>
      </c>
      <c r="L10" s="523" t="e">
        <f t="shared" si="3"/>
        <v>#VALUE!</v>
      </c>
      <c r="N10" s="507" t="s">
        <v>397</v>
      </c>
      <c r="O10" s="509">
        <f t="shared" si="4"/>
        <v>87367.019215</v>
      </c>
      <c r="P10" s="509">
        <f>'[16]基本支出总表（开）'!S6</f>
        <v>1602.950504</v>
      </c>
      <c r="Q10" s="509">
        <f>'[16]项目支出总表（开）'!AB6</f>
        <v>85764.068711</v>
      </c>
      <c r="S10" s="513" t="e">
        <f t="shared" ref="S10:U10" si="13">SUM(S11:S12)</f>
        <v>#VALUE!</v>
      </c>
      <c r="T10" s="513" t="e">
        <f t="shared" si="13"/>
        <v>#VALUE!</v>
      </c>
      <c r="U10" s="513" t="e">
        <f t="shared" si="13"/>
        <v>#VALUE!</v>
      </c>
    </row>
    <row r="11" s="1" customFormat="1" ht="21.75" customHeight="1" spans="1:21">
      <c r="A11" s="514" t="s">
        <v>55</v>
      </c>
      <c r="B11" s="515">
        <v>4589.333269</v>
      </c>
      <c r="C11" s="515">
        <v>4589.333269</v>
      </c>
      <c r="D11" s="515">
        <v>4030.865979</v>
      </c>
      <c r="E11" s="515">
        <v>558.46729</v>
      </c>
      <c r="F11" s="515"/>
      <c r="G11" s="515" t="e">
        <f t="shared" si="10"/>
        <v>#VALUE!</v>
      </c>
      <c r="H11" s="515" t="e">
        <f>SUMIFS('[16]基本支出总表（开）'!P:P,'[16]基本支出总表（开）'!C:C,MID(A11,4,7))</f>
        <v>#VALUE!</v>
      </c>
      <c r="I11" s="515" t="e">
        <f>SUMIFS('[16]项目支出总表（开）'!Y:Y,'[16]项目支出总表（开）'!C:C,MID(A11,4,7))+SUMIFS('[16]项目支出总表（开）'!Z:Z,'[16]项目支出总表（开）'!C:C,MID(A11,4,7))</f>
        <v>#VALUE!</v>
      </c>
      <c r="J11" s="524" t="e">
        <f t="shared" si="1"/>
        <v>#VALUE!</v>
      </c>
      <c r="K11" s="524" t="e">
        <f t="shared" si="2"/>
        <v>#VALUE!</v>
      </c>
      <c r="L11" s="524" t="str">
        <f t="shared" si="3"/>
        <v/>
      </c>
      <c r="N11" s="507" t="s">
        <v>398</v>
      </c>
      <c r="O11" s="509">
        <f t="shared" si="4"/>
        <v>16191.655435</v>
      </c>
      <c r="P11" s="509">
        <f>'[16]基本支出总表（开）'!T6</f>
        <v>11858.274914</v>
      </c>
      <c r="Q11" s="509">
        <f>'[16]项目支出总表（开）'!AC6</f>
        <v>4333.380521</v>
      </c>
      <c r="S11" s="515" t="e">
        <f t="shared" si="11"/>
        <v>#VALUE!</v>
      </c>
      <c r="T11" s="515" t="e">
        <f>SUMIFS('[16]基本支出总表（开）'!M:M,'[16]基本支出总表（开）'!C:C,MID(TRIM(A11),2,7))</f>
        <v>#VALUE!</v>
      </c>
      <c r="U11" s="515" t="e">
        <f>SUMIFS('[16]项目支出总表（开）'!V:V,'[16]项目支出总表（开）'!C:C,MID(TRIM(A11),2,7))</f>
        <v>#VALUE!</v>
      </c>
    </row>
    <row r="12" s="1" customFormat="1" ht="21.75" customHeight="1" spans="1:21">
      <c r="A12" s="514" t="s">
        <v>56</v>
      </c>
      <c r="B12" s="515">
        <v>3863.33</v>
      </c>
      <c r="C12" s="515"/>
      <c r="D12" s="515"/>
      <c r="E12" s="515"/>
      <c r="F12" s="515">
        <v>3863.33</v>
      </c>
      <c r="G12" s="515" t="e">
        <f t="shared" si="10"/>
        <v>#VALUE!</v>
      </c>
      <c r="H12" s="515" t="e">
        <f>SUMIFS('[16]基本支出总表（开）'!P:P,'[16]基本支出总表（开）'!C:C,MID(A12,4,7))</f>
        <v>#VALUE!</v>
      </c>
      <c r="I12" s="515" t="e">
        <f>SUMIFS('[16]项目支出总表（开）'!Y:Y,'[16]项目支出总表（开）'!C:C,MID(A12,4,7))+SUMIFS('[16]项目支出总表（开）'!Z:Z,'[16]项目支出总表（开）'!C:C,MID(A12,4,7))</f>
        <v>#VALUE!</v>
      </c>
      <c r="J12" s="524" t="e">
        <f t="shared" si="1"/>
        <v>#VALUE!</v>
      </c>
      <c r="K12" s="524" t="str">
        <f t="shared" si="2"/>
        <v/>
      </c>
      <c r="L12" s="524" t="e">
        <f t="shared" si="3"/>
        <v>#VALUE!</v>
      </c>
      <c r="O12" s="153" t="e">
        <f>G329-O9</f>
        <v>#VALUE!</v>
      </c>
      <c r="S12" s="515" t="e">
        <f t="shared" si="11"/>
        <v>#VALUE!</v>
      </c>
      <c r="T12" s="515" t="e">
        <f>SUMIFS('[16]基本支出总表（开）'!M:M,'[16]基本支出总表（开）'!C:C,MID(TRIM(A12),2,7))</f>
        <v>#VALUE!</v>
      </c>
      <c r="U12" s="515" t="e">
        <f>SUMIFS('[16]项目支出总表（开）'!V:V,'[16]项目支出总表（开）'!C:C,MID(TRIM(A12),2,7))</f>
        <v>#VALUE!</v>
      </c>
    </row>
    <row r="13" s="1" customFormat="1" ht="21.75" customHeight="1" spans="1:21">
      <c r="A13" s="512" t="s">
        <v>57</v>
      </c>
      <c r="B13" s="513">
        <f t="shared" ref="B13:I13" si="14">SUM(B14:B16)</f>
        <v>437.387658</v>
      </c>
      <c r="C13" s="513">
        <f t="shared" si="14"/>
        <v>241.387658</v>
      </c>
      <c r="D13" s="513">
        <f t="shared" si="14"/>
        <v>219.487279</v>
      </c>
      <c r="E13" s="513">
        <f t="shared" si="14"/>
        <v>21.900379</v>
      </c>
      <c r="F13" s="513">
        <f t="shared" si="14"/>
        <v>196</v>
      </c>
      <c r="G13" s="513" t="e">
        <f t="shared" si="14"/>
        <v>#VALUE!</v>
      </c>
      <c r="H13" s="513" t="e">
        <f t="shared" si="14"/>
        <v>#VALUE!</v>
      </c>
      <c r="I13" s="513" t="e">
        <f t="shared" si="14"/>
        <v>#VALUE!</v>
      </c>
      <c r="J13" s="523" t="e">
        <f t="shared" si="1"/>
        <v>#VALUE!</v>
      </c>
      <c r="K13" s="523" t="e">
        <f t="shared" si="2"/>
        <v>#VALUE!</v>
      </c>
      <c r="L13" s="523" t="e">
        <f t="shared" si="3"/>
        <v>#VALUE!</v>
      </c>
      <c r="N13" s="507" t="s">
        <v>399</v>
      </c>
      <c r="O13" s="507"/>
      <c r="P13" s="530"/>
      <c r="Q13" s="530"/>
      <c r="S13" s="513" t="e">
        <f t="shared" ref="S13:U13" si="15">SUM(S14:S16)</f>
        <v>#VALUE!</v>
      </c>
      <c r="T13" s="513" t="e">
        <f t="shared" si="15"/>
        <v>#VALUE!</v>
      </c>
      <c r="U13" s="513" t="e">
        <f t="shared" si="15"/>
        <v>#VALUE!</v>
      </c>
    </row>
    <row r="14" s="1" customFormat="1" ht="21.75" customHeight="1" spans="1:21">
      <c r="A14" s="514" t="s">
        <v>58</v>
      </c>
      <c r="B14" s="515">
        <v>241.387658</v>
      </c>
      <c r="C14" s="515">
        <v>241.387658</v>
      </c>
      <c r="D14" s="515">
        <v>219.487279</v>
      </c>
      <c r="E14" s="515">
        <v>21.900379</v>
      </c>
      <c r="F14" s="515"/>
      <c r="G14" s="515" t="e">
        <f t="shared" ref="G14:G16" si="16">SUM(H14:I14)</f>
        <v>#VALUE!</v>
      </c>
      <c r="H14" s="515" t="e">
        <f>SUMIFS('[16]基本支出总表（开）'!P:P,'[16]基本支出总表（开）'!C:C,MID(A14,4,7))</f>
        <v>#VALUE!</v>
      </c>
      <c r="I14" s="515" t="e">
        <f>SUMIFS('[16]项目支出总表（开）'!Y:Y,'[16]项目支出总表（开）'!C:C,MID(A14,4,7))+SUMIFS('[16]项目支出总表（开）'!Z:Z,'[16]项目支出总表（开）'!C:C,MID(A14,4,7))</f>
        <v>#VALUE!</v>
      </c>
      <c r="J14" s="524" t="e">
        <f t="shared" si="1"/>
        <v>#VALUE!</v>
      </c>
      <c r="K14" s="524" t="e">
        <f t="shared" si="2"/>
        <v>#VALUE!</v>
      </c>
      <c r="L14" s="524" t="str">
        <f t="shared" si="3"/>
        <v/>
      </c>
      <c r="N14" s="507" t="s">
        <v>393</v>
      </c>
      <c r="O14" s="509">
        <f>'[16]执行-开'!I9967/10000-O6</f>
        <v>-34558.669172</v>
      </c>
      <c r="P14" s="531"/>
      <c r="Q14" s="531"/>
      <c r="S14" s="515" t="e">
        <f t="shared" ref="S14:S16" si="17">SUM(T14:U14)</f>
        <v>#VALUE!</v>
      </c>
      <c r="T14" s="515" t="e">
        <f>SUMIFS('[16]基本支出总表（开）'!M:M,'[16]基本支出总表（开）'!C:C,MID(TRIM(A14),2,7))</f>
        <v>#VALUE!</v>
      </c>
      <c r="U14" s="515" t="e">
        <f>SUMIFS('[16]项目支出总表（开）'!V:V,'[16]项目支出总表（开）'!C:C,MID(TRIM(A14),2,7))</f>
        <v>#VALUE!</v>
      </c>
    </row>
    <row r="15" s="1" customFormat="1" ht="21.75" customHeight="1" spans="1:21">
      <c r="A15" s="514" t="s">
        <v>59</v>
      </c>
      <c r="B15" s="515">
        <v>196</v>
      </c>
      <c r="C15" s="515"/>
      <c r="D15" s="515"/>
      <c r="E15" s="515"/>
      <c r="F15" s="515">
        <v>196</v>
      </c>
      <c r="G15" s="515" t="e">
        <f t="shared" si="16"/>
        <v>#VALUE!</v>
      </c>
      <c r="H15" s="515" t="e">
        <f>SUMIFS('[16]基本支出总表（开）'!P:P,'[16]基本支出总表（开）'!C:C,MID(A15,4,7))</f>
        <v>#VALUE!</v>
      </c>
      <c r="I15" s="515" t="e">
        <f>SUMIFS('[16]项目支出总表（开）'!Y:Y,'[16]项目支出总表（开）'!C:C,MID(A15,4,7))+SUMIFS('[16]项目支出总表（开）'!Z:Z,'[16]项目支出总表（开）'!C:C,MID(A15,4,7))</f>
        <v>#VALUE!</v>
      </c>
      <c r="J15" s="524" t="e">
        <f t="shared" si="1"/>
        <v>#VALUE!</v>
      </c>
      <c r="K15" s="524" t="str">
        <f t="shared" si="2"/>
        <v/>
      </c>
      <c r="L15" s="524" t="e">
        <f t="shared" si="3"/>
        <v>#VALUE!</v>
      </c>
      <c r="N15" s="507" t="s">
        <v>395</v>
      </c>
      <c r="O15" s="509">
        <f>'[16]计划-开'!J562/10000-O8</f>
        <v>-77192.15275</v>
      </c>
      <c r="P15" s="531"/>
      <c r="Q15" s="531"/>
      <c r="S15" s="515" t="e">
        <f t="shared" si="17"/>
        <v>#VALUE!</v>
      </c>
      <c r="T15" s="515" t="e">
        <f>SUMIFS('[16]基本支出总表（开）'!M:M,'[16]基本支出总表（开）'!C:C,MID(TRIM(A15),2,7))</f>
        <v>#VALUE!</v>
      </c>
      <c r="U15" s="515" t="e">
        <f>SUMIFS('[16]项目支出总表（开）'!V:V,'[16]项目支出总表（开）'!C:C,MID(TRIM(A15),2,7))</f>
        <v>#VALUE!</v>
      </c>
    </row>
    <row r="16" s="1" customFormat="1" ht="21.75" customHeight="1" spans="1:21">
      <c r="A16" s="516" t="s">
        <v>60</v>
      </c>
      <c r="B16" s="515"/>
      <c r="C16" s="515"/>
      <c r="D16" s="515"/>
      <c r="E16" s="515"/>
      <c r="F16" s="515"/>
      <c r="G16" s="515" t="e">
        <f t="shared" si="16"/>
        <v>#VALUE!</v>
      </c>
      <c r="H16" s="515" t="e">
        <f>SUMIFS('[16]基本支出总表（开）'!P:P,'[16]基本支出总表（开）'!C:C,MID(A16,4,7))</f>
        <v>#VALUE!</v>
      </c>
      <c r="I16" s="515" t="e">
        <f>SUMIFS('[16]项目支出总表（开）'!Y:Y,'[16]项目支出总表（开）'!C:C,MID(A16,4,7))+SUMIFS('[16]项目支出总表（开）'!Z:Z,'[16]项目支出总表（开）'!C:C,MID(A16,4,7))</f>
        <v>#VALUE!</v>
      </c>
      <c r="J16" s="524" t="str">
        <f t="shared" si="1"/>
        <v/>
      </c>
      <c r="K16" s="524" t="str">
        <f t="shared" si="2"/>
        <v/>
      </c>
      <c r="L16" s="524" t="str">
        <f t="shared" si="3"/>
        <v/>
      </c>
      <c r="N16" s="507" t="s">
        <v>396</v>
      </c>
      <c r="O16" s="509">
        <f>'[16]执行-开'!K9967/10000-O9</f>
        <v>-136359.496717</v>
      </c>
      <c r="P16" s="531">
        <f>O16+'[16]项目支出总表（开）'!Y6</f>
        <v>-44099.078876</v>
      </c>
      <c r="Q16" s="531"/>
      <c r="S16" s="515" t="e">
        <f t="shared" si="17"/>
        <v>#VALUE!</v>
      </c>
      <c r="T16" s="515" t="e">
        <f>SUMIFS('[16]基本支出总表（开）'!M:M,'[16]基本支出总表（开）'!C:C,MID(TRIM(A16),2,7))</f>
        <v>#VALUE!</v>
      </c>
      <c r="U16" s="515" t="e">
        <f>SUMIFS('[16]项目支出总表（开）'!V:V,'[16]项目支出总表（开）'!C:C,MID(TRIM(A16),2,7))</f>
        <v>#VALUE!</v>
      </c>
    </row>
    <row r="17" s="1" customFormat="1" ht="21.75" customHeight="1" spans="1:21">
      <c r="A17" s="512" t="s">
        <v>61</v>
      </c>
      <c r="B17" s="513">
        <f t="shared" ref="B17:I17" si="18">SUM(B18:B20)</f>
        <v>560.924396</v>
      </c>
      <c r="C17" s="513">
        <f t="shared" si="18"/>
        <v>178.924396</v>
      </c>
      <c r="D17" s="513">
        <f t="shared" si="18"/>
        <v>160.199605</v>
      </c>
      <c r="E17" s="513">
        <f t="shared" si="18"/>
        <v>18.724791</v>
      </c>
      <c r="F17" s="513">
        <f t="shared" si="18"/>
        <v>382</v>
      </c>
      <c r="G17" s="513" t="e">
        <f t="shared" si="18"/>
        <v>#VALUE!</v>
      </c>
      <c r="H17" s="513" t="e">
        <f t="shared" si="18"/>
        <v>#VALUE!</v>
      </c>
      <c r="I17" s="513" t="e">
        <f t="shared" si="18"/>
        <v>#VALUE!</v>
      </c>
      <c r="J17" s="523" t="e">
        <f t="shared" si="1"/>
        <v>#VALUE!</v>
      </c>
      <c r="K17" s="523" t="e">
        <f t="shared" si="2"/>
        <v>#VALUE!</v>
      </c>
      <c r="L17" s="523" t="e">
        <f t="shared" si="3"/>
        <v>#VALUE!</v>
      </c>
      <c r="N17" s="530"/>
      <c r="O17" s="531"/>
      <c r="P17" s="531"/>
      <c r="Q17" s="531"/>
      <c r="S17" s="513" t="e">
        <f t="shared" ref="S17:U17" si="19">SUM(S18:S20)</f>
        <v>#VALUE!</v>
      </c>
      <c r="T17" s="513" t="e">
        <f t="shared" si="19"/>
        <v>#VALUE!</v>
      </c>
      <c r="U17" s="513" t="e">
        <f t="shared" si="19"/>
        <v>#VALUE!</v>
      </c>
    </row>
    <row r="18" s="1" customFormat="1" ht="21.75" customHeight="1" spans="1:21">
      <c r="A18" s="514" t="s">
        <v>62</v>
      </c>
      <c r="B18" s="515">
        <v>178.924396</v>
      </c>
      <c r="C18" s="515">
        <v>178.924396</v>
      </c>
      <c r="D18" s="515">
        <v>160.199605</v>
      </c>
      <c r="E18" s="515">
        <v>18.724791</v>
      </c>
      <c r="F18" s="515"/>
      <c r="G18" s="515" t="e">
        <f t="shared" ref="G18:G20" si="20">SUM(H18:I18)</f>
        <v>#VALUE!</v>
      </c>
      <c r="H18" s="515" t="e">
        <f>SUMIFS('[16]基本支出总表（开）'!P:P,'[16]基本支出总表（开）'!C:C,MID(A18,4,7))</f>
        <v>#VALUE!</v>
      </c>
      <c r="I18" s="515" t="e">
        <f>SUMIFS('[16]项目支出总表（开）'!Y:Y,'[16]项目支出总表（开）'!C:C,MID(A18,4,7))+SUMIFS('[16]项目支出总表（开）'!Z:Z,'[16]项目支出总表（开）'!C:C,MID(A18,4,7))</f>
        <v>#VALUE!</v>
      </c>
      <c r="J18" s="524" t="e">
        <f t="shared" si="1"/>
        <v>#VALUE!</v>
      </c>
      <c r="K18" s="524" t="e">
        <f t="shared" si="2"/>
        <v>#VALUE!</v>
      </c>
      <c r="L18" s="524" t="str">
        <f t="shared" si="3"/>
        <v/>
      </c>
      <c r="O18" s="153"/>
      <c r="S18" s="515" t="e">
        <f t="shared" ref="S18:S20" si="21">SUM(T18:U18)</f>
        <v>#VALUE!</v>
      </c>
      <c r="T18" s="515" t="e">
        <f>SUMIFS('[16]基本支出总表（开）'!M:M,'[16]基本支出总表（开）'!C:C,MID(TRIM(A18),2,7))</f>
        <v>#VALUE!</v>
      </c>
      <c r="U18" s="515" t="e">
        <f>SUMIFS('[16]项目支出总表（开）'!V:V,'[16]项目支出总表（开）'!C:C,MID(TRIM(A18),2,7))</f>
        <v>#VALUE!</v>
      </c>
    </row>
    <row r="19" s="1" customFormat="1" ht="21.75" customHeight="1" spans="1:21">
      <c r="A19" s="516" t="s">
        <v>63</v>
      </c>
      <c r="B19" s="515"/>
      <c r="C19" s="515"/>
      <c r="D19" s="515"/>
      <c r="E19" s="515"/>
      <c r="F19" s="515"/>
      <c r="G19" s="515" t="e">
        <f t="shared" si="20"/>
        <v>#VALUE!</v>
      </c>
      <c r="H19" s="515" t="e">
        <f>SUMIFS('[16]基本支出总表（开）'!P:P,'[16]基本支出总表（开）'!C:C,MID(A19,4,7))</f>
        <v>#VALUE!</v>
      </c>
      <c r="I19" s="515" t="e">
        <f>SUMIFS('[16]项目支出总表（开）'!Y:Y,'[16]项目支出总表（开）'!C:C,MID(A19,4,7))+SUMIFS('[16]项目支出总表（开）'!Z:Z,'[16]项目支出总表（开）'!C:C,MID(A19,4,7))</f>
        <v>#VALUE!</v>
      </c>
      <c r="J19" s="524" t="str">
        <f t="shared" si="1"/>
        <v/>
      </c>
      <c r="K19" s="524" t="str">
        <f t="shared" si="2"/>
        <v/>
      </c>
      <c r="L19" s="524" t="str">
        <f t="shared" si="3"/>
        <v/>
      </c>
      <c r="O19" s="153"/>
      <c r="S19" s="515" t="e">
        <f t="shared" si="21"/>
        <v>#VALUE!</v>
      </c>
      <c r="T19" s="515" t="e">
        <f>SUMIFS('[16]基本支出总表（开）'!M:M,'[16]基本支出总表（开）'!C:C,MID(TRIM(A19),2,7))</f>
        <v>#VALUE!</v>
      </c>
      <c r="U19" s="515" t="e">
        <f>SUMIFS('[16]项目支出总表（开）'!V:V,'[16]项目支出总表（开）'!C:C,MID(TRIM(A19),2,7))</f>
        <v>#VALUE!</v>
      </c>
    </row>
    <row r="20" s="1" customFormat="1" ht="21.75" customHeight="1" spans="1:21">
      <c r="A20" s="514" t="s">
        <v>64</v>
      </c>
      <c r="B20" s="515">
        <v>382</v>
      </c>
      <c r="C20" s="515"/>
      <c r="D20" s="515"/>
      <c r="E20" s="515"/>
      <c r="F20" s="515">
        <v>382</v>
      </c>
      <c r="G20" s="515" t="e">
        <f t="shared" si="20"/>
        <v>#VALUE!</v>
      </c>
      <c r="H20" s="515" t="e">
        <f>SUMIFS('[16]基本支出总表（开）'!P:P,'[16]基本支出总表（开）'!C:C,MID(A20,4,7))</f>
        <v>#VALUE!</v>
      </c>
      <c r="I20" s="515" t="e">
        <f>SUMIFS('[16]项目支出总表（开）'!Y:Y,'[16]项目支出总表（开）'!C:C,MID(A20,4,7))+SUMIFS('[16]项目支出总表（开）'!Z:Z,'[16]项目支出总表（开）'!C:C,MID(A20,4,7))</f>
        <v>#VALUE!</v>
      </c>
      <c r="J20" s="524" t="e">
        <f t="shared" si="1"/>
        <v>#VALUE!</v>
      </c>
      <c r="K20" s="524" t="str">
        <f t="shared" si="2"/>
        <v/>
      </c>
      <c r="L20" s="524" t="e">
        <f t="shared" si="3"/>
        <v>#VALUE!</v>
      </c>
      <c r="O20" s="153"/>
      <c r="S20" s="515" t="e">
        <f t="shared" si="21"/>
        <v>#VALUE!</v>
      </c>
      <c r="T20" s="515" t="e">
        <f>SUMIFS('[16]基本支出总表（开）'!M:M,'[16]基本支出总表（开）'!C:C,MID(TRIM(A20),2,7))</f>
        <v>#VALUE!</v>
      </c>
      <c r="U20" s="515" t="e">
        <f>SUMIFS('[16]项目支出总表（开）'!V:V,'[16]项目支出总表（开）'!C:C,MID(TRIM(A20),2,7))</f>
        <v>#VALUE!</v>
      </c>
    </row>
    <row r="21" s="1" customFormat="1" ht="21.75" customHeight="1" spans="1:21">
      <c r="A21" s="512" t="s">
        <v>65</v>
      </c>
      <c r="B21" s="513">
        <f t="shared" ref="B21:I21" si="22">SUM(B22:B26)</f>
        <v>1681.690655</v>
      </c>
      <c r="C21" s="513">
        <f t="shared" si="22"/>
        <v>1105.490655</v>
      </c>
      <c r="D21" s="513">
        <f t="shared" si="22"/>
        <v>1015.509691</v>
      </c>
      <c r="E21" s="513">
        <f t="shared" si="22"/>
        <v>89.980964</v>
      </c>
      <c r="F21" s="513">
        <f t="shared" si="22"/>
        <v>576.2</v>
      </c>
      <c r="G21" s="513" t="e">
        <f t="shared" si="22"/>
        <v>#VALUE!</v>
      </c>
      <c r="H21" s="513" t="e">
        <f t="shared" si="22"/>
        <v>#VALUE!</v>
      </c>
      <c r="I21" s="513" t="e">
        <f t="shared" si="22"/>
        <v>#VALUE!</v>
      </c>
      <c r="J21" s="523" t="e">
        <f t="shared" si="1"/>
        <v>#VALUE!</v>
      </c>
      <c r="K21" s="523" t="e">
        <f t="shared" si="2"/>
        <v>#VALUE!</v>
      </c>
      <c r="L21" s="523" t="e">
        <f t="shared" si="3"/>
        <v>#VALUE!</v>
      </c>
      <c r="O21" s="153"/>
      <c r="S21" s="513" t="e">
        <f t="shared" ref="S21:U21" si="23">SUM(S22:S26)</f>
        <v>#VALUE!</v>
      </c>
      <c r="T21" s="513" t="e">
        <f t="shared" si="23"/>
        <v>#VALUE!</v>
      </c>
      <c r="U21" s="513" t="e">
        <f t="shared" si="23"/>
        <v>#VALUE!</v>
      </c>
    </row>
    <row r="22" s="1" customFormat="1" ht="21.75" customHeight="1" spans="1:21">
      <c r="A22" s="514" t="s">
        <v>66</v>
      </c>
      <c r="B22" s="515">
        <v>489.148682</v>
      </c>
      <c r="C22" s="515">
        <v>489.148682</v>
      </c>
      <c r="D22" s="515">
        <v>445.122756</v>
      </c>
      <c r="E22" s="515">
        <v>44.025926</v>
      </c>
      <c r="F22" s="515"/>
      <c r="G22" s="515" t="e">
        <f t="shared" ref="G22:G26" si="24">SUM(H22:I22)</f>
        <v>#VALUE!</v>
      </c>
      <c r="H22" s="515" t="e">
        <f>SUMIFS('[16]基本支出总表（开）'!P:P,'[16]基本支出总表（开）'!C:C,MID(A22,4,7))</f>
        <v>#VALUE!</v>
      </c>
      <c r="I22" s="515" t="e">
        <f>SUMIFS('[16]项目支出总表（开）'!Y:Y,'[16]项目支出总表（开）'!C:C,MID(A22,4,7))+SUMIFS('[16]项目支出总表（开）'!Z:Z,'[16]项目支出总表（开）'!C:C,MID(A22,4,7))</f>
        <v>#VALUE!</v>
      </c>
      <c r="J22" s="524" t="e">
        <f t="shared" si="1"/>
        <v>#VALUE!</v>
      </c>
      <c r="K22" s="524" t="e">
        <f t="shared" si="2"/>
        <v>#VALUE!</v>
      </c>
      <c r="L22" s="524" t="str">
        <f t="shared" si="3"/>
        <v/>
      </c>
      <c r="O22" s="153"/>
      <c r="S22" s="515" t="e">
        <f t="shared" ref="S22:S26" si="25">SUM(T22:U22)</f>
        <v>#VALUE!</v>
      </c>
      <c r="T22" s="515" t="e">
        <f>SUMIFS('[16]基本支出总表（开）'!M:M,'[16]基本支出总表（开）'!C:C,MID(TRIM(A22),2,7))</f>
        <v>#VALUE!</v>
      </c>
      <c r="U22" s="515" t="e">
        <f>SUMIFS('[16]项目支出总表（开）'!V:V,'[16]项目支出总表（开）'!C:C,MID(TRIM(A22),2,7))</f>
        <v>#VALUE!</v>
      </c>
    </row>
    <row r="23" s="1" customFormat="1" ht="21.75" customHeight="1" spans="1:21">
      <c r="A23" s="516" t="s">
        <v>67</v>
      </c>
      <c r="B23" s="515">
        <v>72.5</v>
      </c>
      <c r="C23" s="515"/>
      <c r="D23" s="515"/>
      <c r="E23" s="515"/>
      <c r="F23" s="515">
        <v>72.5</v>
      </c>
      <c r="G23" s="515" t="e">
        <f t="shared" si="24"/>
        <v>#VALUE!</v>
      </c>
      <c r="H23" s="515" t="e">
        <f>SUMIFS('[16]基本支出总表（开）'!P:P,'[16]基本支出总表（开）'!C:C,MID(A23,4,7))</f>
        <v>#VALUE!</v>
      </c>
      <c r="I23" s="515" t="e">
        <f>SUMIFS('[16]项目支出总表（开）'!Y:Y,'[16]项目支出总表（开）'!C:C,MID(A23,4,7))+SUMIFS('[16]项目支出总表（开）'!Z:Z,'[16]项目支出总表（开）'!C:C,MID(A23,4,7))</f>
        <v>#VALUE!</v>
      </c>
      <c r="J23" s="524" t="e">
        <f t="shared" si="1"/>
        <v>#VALUE!</v>
      </c>
      <c r="K23" s="524" t="str">
        <f t="shared" si="2"/>
        <v/>
      </c>
      <c r="L23" s="524" t="e">
        <f t="shared" si="3"/>
        <v>#VALUE!</v>
      </c>
      <c r="O23" s="153"/>
      <c r="S23" s="515" t="e">
        <f t="shared" si="25"/>
        <v>#VALUE!</v>
      </c>
      <c r="T23" s="515" t="e">
        <f>SUMIFS('[16]基本支出总表（开）'!M:M,'[16]基本支出总表（开）'!C:C,MID(TRIM(A23),2,7))</f>
        <v>#VALUE!</v>
      </c>
      <c r="U23" s="515" t="e">
        <f>SUMIFS('[16]项目支出总表（开）'!V:V,'[16]项目支出总表（开）'!C:C,MID(TRIM(A23),2,7))</f>
        <v>#VALUE!</v>
      </c>
    </row>
    <row r="24" s="1" customFormat="1" ht="21.75" customHeight="1" spans="1:21">
      <c r="A24" s="514" t="s">
        <v>69</v>
      </c>
      <c r="B24" s="515">
        <v>251</v>
      </c>
      <c r="C24" s="515"/>
      <c r="D24" s="515"/>
      <c r="E24" s="515"/>
      <c r="F24" s="515">
        <v>251</v>
      </c>
      <c r="G24" s="515" t="e">
        <f t="shared" si="24"/>
        <v>#VALUE!</v>
      </c>
      <c r="H24" s="515" t="e">
        <f>SUMIFS('[16]基本支出总表（开）'!P:P,'[16]基本支出总表（开）'!C:C,MID(A24,4,7))</f>
        <v>#VALUE!</v>
      </c>
      <c r="I24" s="515" t="e">
        <f>SUMIFS('[16]项目支出总表（开）'!Y:Y,'[16]项目支出总表（开）'!C:C,MID(A24,4,7))+SUMIFS('[16]项目支出总表（开）'!Z:Z,'[16]项目支出总表（开）'!C:C,MID(A24,4,7))</f>
        <v>#VALUE!</v>
      </c>
      <c r="J24" s="524" t="e">
        <f t="shared" si="1"/>
        <v>#VALUE!</v>
      </c>
      <c r="K24" s="524" t="str">
        <f t="shared" si="2"/>
        <v/>
      </c>
      <c r="L24" s="524" t="e">
        <f t="shared" si="3"/>
        <v>#VALUE!</v>
      </c>
      <c r="O24" s="153"/>
      <c r="S24" s="515" t="e">
        <f t="shared" si="25"/>
        <v>#VALUE!</v>
      </c>
      <c r="T24" s="515" t="e">
        <f>SUMIFS('[16]基本支出总表（开）'!M:M,'[16]基本支出总表（开）'!C:C,MID(TRIM(A24),2,7))</f>
        <v>#VALUE!</v>
      </c>
      <c r="U24" s="515" t="e">
        <f>SUMIFS('[16]项目支出总表（开）'!V:V,'[16]项目支出总表（开）'!C:C,MID(TRIM(A24),2,7))</f>
        <v>#VALUE!</v>
      </c>
    </row>
    <row r="25" s="1" customFormat="1" ht="21.75" customHeight="1" spans="1:21">
      <c r="A25" s="514" t="s">
        <v>70</v>
      </c>
      <c r="B25" s="515">
        <v>616.341973</v>
      </c>
      <c r="C25" s="515">
        <v>616.341973</v>
      </c>
      <c r="D25" s="515">
        <v>570.386935</v>
      </c>
      <c r="E25" s="515">
        <v>45.955038</v>
      </c>
      <c r="F25" s="515"/>
      <c r="G25" s="515" t="e">
        <f t="shared" si="24"/>
        <v>#VALUE!</v>
      </c>
      <c r="H25" s="515" t="e">
        <f>SUMIFS('[16]基本支出总表（开）'!P:P,'[16]基本支出总表（开）'!C:C,MID(A25,4,7))</f>
        <v>#VALUE!</v>
      </c>
      <c r="I25" s="515" t="e">
        <f>SUMIFS('[16]项目支出总表（开）'!Y:Y,'[16]项目支出总表（开）'!C:C,MID(A25,4,7))+SUMIFS('[16]项目支出总表（开）'!Z:Z,'[16]项目支出总表（开）'!C:C,MID(A25,4,7))</f>
        <v>#VALUE!</v>
      </c>
      <c r="J25" s="524" t="e">
        <f t="shared" si="1"/>
        <v>#VALUE!</v>
      </c>
      <c r="K25" s="524" t="e">
        <f t="shared" si="2"/>
        <v>#VALUE!</v>
      </c>
      <c r="L25" s="524" t="str">
        <f t="shared" si="3"/>
        <v/>
      </c>
      <c r="O25" s="153"/>
      <c r="S25" s="515" t="e">
        <f t="shared" si="25"/>
        <v>#VALUE!</v>
      </c>
      <c r="T25" s="515" t="e">
        <f>SUMIFS('[16]基本支出总表（开）'!M:M,'[16]基本支出总表（开）'!C:C,MID(TRIM(A25),2,7))</f>
        <v>#VALUE!</v>
      </c>
      <c r="U25" s="515" t="e">
        <f>SUMIFS('[16]项目支出总表（开）'!V:V,'[16]项目支出总表（开）'!C:C,MID(TRIM(A25),2,7))</f>
        <v>#VALUE!</v>
      </c>
    </row>
    <row r="26" s="1" customFormat="1" ht="21.75" customHeight="1" spans="1:21">
      <c r="A26" s="514" t="s">
        <v>71</v>
      </c>
      <c r="B26" s="515">
        <v>252.7</v>
      </c>
      <c r="C26" s="515"/>
      <c r="D26" s="515"/>
      <c r="E26" s="515"/>
      <c r="F26" s="515">
        <v>252.7</v>
      </c>
      <c r="G26" s="515" t="e">
        <f t="shared" si="24"/>
        <v>#VALUE!</v>
      </c>
      <c r="H26" s="515" t="e">
        <f>SUMIFS('[16]基本支出总表（开）'!P:P,'[16]基本支出总表（开）'!C:C,MID(A26,4,7))</f>
        <v>#VALUE!</v>
      </c>
      <c r="I26" s="515" t="e">
        <f>SUMIFS('[16]项目支出总表（开）'!Y:Y,'[16]项目支出总表（开）'!C:C,MID(A26,4,7))+SUMIFS('[16]项目支出总表（开）'!Z:Z,'[16]项目支出总表（开）'!C:C,MID(A26,4,7))</f>
        <v>#VALUE!</v>
      </c>
      <c r="J26" s="524" t="e">
        <f t="shared" si="1"/>
        <v>#VALUE!</v>
      </c>
      <c r="K26" s="524" t="str">
        <f t="shared" si="2"/>
        <v/>
      </c>
      <c r="L26" s="524" t="e">
        <f t="shared" si="3"/>
        <v>#VALUE!</v>
      </c>
      <c r="O26" s="153"/>
      <c r="S26" s="515" t="e">
        <f t="shared" si="25"/>
        <v>#VALUE!</v>
      </c>
      <c r="T26" s="515" t="e">
        <f>SUMIFS('[16]基本支出总表（开）'!M:M,'[16]基本支出总表（开）'!C:C,MID(TRIM(A26),2,7))</f>
        <v>#VALUE!</v>
      </c>
      <c r="U26" s="515" t="e">
        <f>SUMIFS('[16]项目支出总表（开）'!V:V,'[16]项目支出总表（开）'!C:C,MID(TRIM(A26),2,7))</f>
        <v>#VALUE!</v>
      </c>
    </row>
    <row r="27" s="1" customFormat="1" ht="21.75" customHeight="1" spans="1:21">
      <c r="A27" s="512" t="s">
        <v>72</v>
      </c>
      <c r="B27" s="513">
        <f t="shared" ref="B27:I27" si="26">SUM(B28)</f>
        <v>1600</v>
      </c>
      <c r="C27" s="513">
        <f t="shared" si="26"/>
        <v>0</v>
      </c>
      <c r="D27" s="513">
        <f t="shared" si="26"/>
        <v>0</v>
      </c>
      <c r="E27" s="513">
        <f t="shared" si="26"/>
        <v>0</v>
      </c>
      <c r="F27" s="513">
        <f t="shared" si="26"/>
        <v>1600</v>
      </c>
      <c r="G27" s="513" t="e">
        <f t="shared" si="26"/>
        <v>#VALUE!</v>
      </c>
      <c r="H27" s="513" t="e">
        <f t="shared" si="26"/>
        <v>#VALUE!</v>
      </c>
      <c r="I27" s="513" t="e">
        <f t="shared" si="26"/>
        <v>#VALUE!</v>
      </c>
      <c r="J27" s="523" t="e">
        <f t="shared" si="1"/>
        <v>#VALUE!</v>
      </c>
      <c r="K27" s="523" t="str">
        <f t="shared" si="2"/>
        <v/>
      </c>
      <c r="L27" s="523" t="e">
        <f t="shared" si="3"/>
        <v>#VALUE!</v>
      </c>
      <c r="O27" s="153"/>
      <c r="S27" s="513" t="e">
        <f t="shared" ref="S27:U27" si="27">SUM(S28)</f>
        <v>#VALUE!</v>
      </c>
      <c r="T27" s="513" t="e">
        <f t="shared" si="27"/>
        <v>#VALUE!</v>
      </c>
      <c r="U27" s="513" t="e">
        <f t="shared" si="27"/>
        <v>#VALUE!</v>
      </c>
    </row>
    <row r="28" s="1" customFormat="1" ht="21.75" customHeight="1" spans="1:21">
      <c r="A28" s="514" t="s">
        <v>73</v>
      </c>
      <c r="B28" s="515">
        <v>1600</v>
      </c>
      <c r="C28" s="515"/>
      <c r="D28" s="515"/>
      <c r="E28" s="515"/>
      <c r="F28" s="515">
        <v>1600</v>
      </c>
      <c r="G28" s="515" t="e">
        <f t="shared" ref="G28:G32" si="28">SUM(H28:I28)</f>
        <v>#VALUE!</v>
      </c>
      <c r="H28" s="515" t="e">
        <f>SUMIFS('[16]基本支出总表（开）'!P:P,'[16]基本支出总表（开）'!C:C,MID(A28,4,7))</f>
        <v>#VALUE!</v>
      </c>
      <c r="I28" s="515" t="e">
        <f>SUMIFS('[16]项目支出总表（开）'!Y:Y,'[16]项目支出总表（开）'!C:C,MID(A28,4,7))+SUMIFS('[16]项目支出总表（开）'!Z:Z,'[16]项目支出总表（开）'!C:C,MID(A28,4,7))</f>
        <v>#VALUE!</v>
      </c>
      <c r="J28" s="524" t="e">
        <f t="shared" si="1"/>
        <v>#VALUE!</v>
      </c>
      <c r="K28" s="524" t="str">
        <f t="shared" si="2"/>
        <v/>
      </c>
      <c r="L28" s="524" t="e">
        <f t="shared" si="3"/>
        <v>#VALUE!</v>
      </c>
      <c r="O28" s="153"/>
      <c r="S28" s="515" t="e">
        <f t="shared" ref="S28:S32" si="29">SUM(T28:U28)</f>
        <v>#VALUE!</v>
      </c>
      <c r="T28" s="515" t="e">
        <f>SUMIFS('[16]基本支出总表（开）'!M:M,'[16]基本支出总表（开）'!C:C,MID(TRIM(A28),2,7))</f>
        <v>#VALUE!</v>
      </c>
      <c r="U28" s="515" t="e">
        <f>SUMIFS('[16]项目支出总表（开）'!V:V,'[16]项目支出总表（开）'!C:C,MID(TRIM(A28),2,7))</f>
        <v>#VALUE!</v>
      </c>
    </row>
    <row r="29" s="1" customFormat="1" ht="21.75" customHeight="1" spans="1:21">
      <c r="A29" s="512" t="s">
        <v>74</v>
      </c>
      <c r="B29" s="513">
        <f t="shared" ref="B29:I29" si="30">SUM(B30:B32)</f>
        <v>286.867267</v>
      </c>
      <c r="C29" s="513">
        <f t="shared" si="30"/>
        <v>186.867267</v>
      </c>
      <c r="D29" s="513">
        <f t="shared" si="30"/>
        <v>168.770609</v>
      </c>
      <c r="E29" s="513">
        <f t="shared" si="30"/>
        <v>18.096658</v>
      </c>
      <c r="F29" s="513">
        <f t="shared" si="30"/>
        <v>100</v>
      </c>
      <c r="G29" s="513" t="e">
        <f t="shared" si="30"/>
        <v>#VALUE!</v>
      </c>
      <c r="H29" s="513" t="e">
        <f t="shared" si="30"/>
        <v>#VALUE!</v>
      </c>
      <c r="I29" s="513" t="e">
        <f t="shared" si="30"/>
        <v>#VALUE!</v>
      </c>
      <c r="J29" s="523" t="e">
        <f t="shared" si="1"/>
        <v>#VALUE!</v>
      </c>
      <c r="K29" s="523" t="e">
        <f t="shared" si="2"/>
        <v>#VALUE!</v>
      </c>
      <c r="L29" s="523" t="e">
        <f t="shared" si="3"/>
        <v>#VALUE!</v>
      </c>
      <c r="O29" s="153"/>
      <c r="S29" s="513" t="e">
        <f t="shared" ref="S29:U29" si="31">SUM(S30:S32)</f>
        <v>#VALUE!</v>
      </c>
      <c r="T29" s="513" t="e">
        <f t="shared" si="31"/>
        <v>#VALUE!</v>
      </c>
      <c r="U29" s="513" t="e">
        <f t="shared" si="31"/>
        <v>#VALUE!</v>
      </c>
    </row>
    <row r="30" s="1" customFormat="1" ht="21.75" customHeight="1" spans="1:21">
      <c r="A30" s="514" t="s">
        <v>75</v>
      </c>
      <c r="B30" s="515">
        <v>186.867267</v>
      </c>
      <c r="C30" s="515">
        <v>186.867267</v>
      </c>
      <c r="D30" s="515">
        <v>168.770609</v>
      </c>
      <c r="E30" s="515">
        <v>18.096658</v>
      </c>
      <c r="F30" s="515"/>
      <c r="G30" s="515" t="e">
        <f t="shared" si="28"/>
        <v>#VALUE!</v>
      </c>
      <c r="H30" s="515" t="e">
        <f>SUMIFS('[16]基本支出总表（开）'!P:P,'[16]基本支出总表（开）'!C:C,MID(A30,4,7))</f>
        <v>#VALUE!</v>
      </c>
      <c r="I30" s="515" t="e">
        <f>SUMIFS('[16]项目支出总表（开）'!Y:Y,'[16]项目支出总表（开）'!C:C,MID(A30,4,7))+SUMIFS('[16]项目支出总表（开）'!Z:Z,'[16]项目支出总表（开）'!C:C,MID(A30,4,7))</f>
        <v>#VALUE!</v>
      </c>
      <c r="J30" s="524" t="e">
        <f t="shared" si="1"/>
        <v>#VALUE!</v>
      </c>
      <c r="K30" s="524" t="e">
        <f t="shared" si="2"/>
        <v>#VALUE!</v>
      </c>
      <c r="L30" s="524" t="str">
        <f t="shared" si="3"/>
        <v/>
      </c>
      <c r="O30" s="153"/>
      <c r="S30" s="515" t="e">
        <f t="shared" si="29"/>
        <v>#VALUE!</v>
      </c>
      <c r="T30" s="515" t="e">
        <f>SUMIFS('[16]基本支出总表（开）'!M:M,'[16]基本支出总表（开）'!C:C,MID(TRIM(A30),2,7))</f>
        <v>#VALUE!</v>
      </c>
      <c r="U30" s="515" t="e">
        <f>SUMIFS('[16]项目支出总表（开）'!V:V,'[16]项目支出总表（开）'!C:C,MID(TRIM(A30),2,7))</f>
        <v>#VALUE!</v>
      </c>
    </row>
    <row r="31" s="1" customFormat="1" ht="21.75" customHeight="1" spans="1:21">
      <c r="A31" s="516" t="s">
        <v>76</v>
      </c>
      <c r="B31" s="515"/>
      <c r="C31" s="515"/>
      <c r="D31" s="515"/>
      <c r="E31" s="515"/>
      <c r="F31" s="515"/>
      <c r="G31" s="515" t="e">
        <f t="shared" si="28"/>
        <v>#VALUE!</v>
      </c>
      <c r="H31" s="515" t="e">
        <f>SUMIFS('[16]基本支出总表（开）'!P:P,'[16]基本支出总表（开）'!C:C,MID(A31,4,7))</f>
        <v>#VALUE!</v>
      </c>
      <c r="I31" s="515" t="e">
        <f>SUMIFS('[16]项目支出总表（开）'!Y:Y,'[16]项目支出总表（开）'!C:C,MID(A31,4,7))+SUMIFS('[16]项目支出总表（开）'!Z:Z,'[16]项目支出总表（开）'!C:C,MID(A31,4,7))</f>
        <v>#VALUE!</v>
      </c>
      <c r="J31" s="524" t="str">
        <f t="shared" si="1"/>
        <v/>
      </c>
      <c r="K31" s="524" t="str">
        <f t="shared" si="2"/>
        <v/>
      </c>
      <c r="L31" s="524" t="str">
        <f t="shared" si="3"/>
        <v/>
      </c>
      <c r="O31" s="153"/>
      <c r="S31" s="515" t="e">
        <f t="shared" si="29"/>
        <v>#VALUE!</v>
      </c>
      <c r="T31" s="515" t="e">
        <f>SUMIFS('[16]基本支出总表（开）'!M:M,'[16]基本支出总表（开）'!C:C,MID(TRIM(A31),2,7))</f>
        <v>#VALUE!</v>
      </c>
      <c r="U31" s="515" t="e">
        <f>SUMIFS('[16]项目支出总表（开）'!V:V,'[16]项目支出总表（开）'!C:C,MID(TRIM(A31),2,7))</f>
        <v>#VALUE!</v>
      </c>
    </row>
    <row r="32" s="1" customFormat="1" ht="21.75" customHeight="1" spans="1:21">
      <c r="A32" s="514" t="s">
        <v>77</v>
      </c>
      <c r="B32" s="515">
        <v>100</v>
      </c>
      <c r="C32" s="515"/>
      <c r="D32" s="515"/>
      <c r="E32" s="515"/>
      <c r="F32" s="515">
        <v>100</v>
      </c>
      <c r="G32" s="515" t="e">
        <f t="shared" si="28"/>
        <v>#VALUE!</v>
      </c>
      <c r="H32" s="515" t="e">
        <f>SUMIFS('[16]基本支出总表（开）'!P:P,'[16]基本支出总表（开）'!C:C,MID(A32,4,7))</f>
        <v>#VALUE!</v>
      </c>
      <c r="I32" s="515" t="e">
        <f>SUMIFS('[16]项目支出总表（开）'!Y:Y,'[16]项目支出总表（开）'!C:C,MID(A32,4,7))+SUMIFS('[16]项目支出总表（开）'!Z:Z,'[16]项目支出总表（开）'!C:C,MID(A32,4,7))</f>
        <v>#VALUE!</v>
      </c>
      <c r="J32" s="524" t="e">
        <f t="shared" si="1"/>
        <v>#VALUE!</v>
      </c>
      <c r="K32" s="524" t="str">
        <f t="shared" si="2"/>
        <v/>
      </c>
      <c r="L32" s="524" t="e">
        <f t="shared" si="3"/>
        <v>#VALUE!</v>
      </c>
      <c r="O32" s="153"/>
      <c r="S32" s="515" t="e">
        <f t="shared" si="29"/>
        <v>#VALUE!</v>
      </c>
      <c r="T32" s="515" t="e">
        <f>SUMIFS('[16]基本支出总表（开）'!M:M,'[16]基本支出总表（开）'!C:C,MID(TRIM(A32),2,7))</f>
        <v>#VALUE!</v>
      </c>
      <c r="U32" s="515" t="e">
        <f>SUMIFS('[16]项目支出总表（开）'!V:V,'[16]项目支出总表（开）'!C:C,MID(TRIM(A32),2,7))</f>
        <v>#VALUE!</v>
      </c>
    </row>
    <row r="33" s="1" customFormat="1" ht="21.75" customHeight="1" spans="1:21">
      <c r="A33" s="512" t="s">
        <v>78</v>
      </c>
      <c r="B33" s="513">
        <f t="shared" ref="B33:I33" si="32">SUM(B34:B36)</f>
        <v>1298.934659</v>
      </c>
      <c r="C33" s="513">
        <f t="shared" si="32"/>
        <v>775.184659</v>
      </c>
      <c r="D33" s="513">
        <f t="shared" si="32"/>
        <v>665.319256</v>
      </c>
      <c r="E33" s="513">
        <f t="shared" si="32"/>
        <v>109.865403</v>
      </c>
      <c r="F33" s="513">
        <f t="shared" si="32"/>
        <v>523.75</v>
      </c>
      <c r="G33" s="513" t="e">
        <f t="shared" si="32"/>
        <v>#VALUE!</v>
      </c>
      <c r="H33" s="513" t="e">
        <f t="shared" si="32"/>
        <v>#VALUE!</v>
      </c>
      <c r="I33" s="513" t="e">
        <f t="shared" si="32"/>
        <v>#VALUE!</v>
      </c>
      <c r="J33" s="523" t="e">
        <f t="shared" si="1"/>
        <v>#VALUE!</v>
      </c>
      <c r="K33" s="523" t="e">
        <f t="shared" si="2"/>
        <v>#VALUE!</v>
      </c>
      <c r="L33" s="523" t="e">
        <f t="shared" si="3"/>
        <v>#VALUE!</v>
      </c>
      <c r="O33" s="153"/>
      <c r="S33" s="513" t="e">
        <f t="shared" ref="S33:U33" si="33">SUM(S34:S36)</f>
        <v>#VALUE!</v>
      </c>
      <c r="T33" s="513" t="e">
        <f t="shared" si="33"/>
        <v>#VALUE!</v>
      </c>
      <c r="U33" s="513" t="e">
        <f t="shared" si="33"/>
        <v>#VALUE!</v>
      </c>
    </row>
    <row r="34" s="1" customFormat="1" ht="21.75" customHeight="1" spans="1:21">
      <c r="A34" s="514" t="s">
        <v>79</v>
      </c>
      <c r="B34" s="515">
        <v>775.184659</v>
      </c>
      <c r="C34" s="515">
        <v>775.184659</v>
      </c>
      <c r="D34" s="515">
        <v>665.319256</v>
      </c>
      <c r="E34" s="515">
        <v>109.865403</v>
      </c>
      <c r="F34" s="515"/>
      <c r="G34" s="515" t="e">
        <f t="shared" ref="G34:G36" si="34">SUM(H34:I34)</f>
        <v>#VALUE!</v>
      </c>
      <c r="H34" s="515" t="e">
        <f>SUMIFS('[16]基本支出总表（开）'!P:P,'[16]基本支出总表（开）'!C:C,MID(A34,4,7))</f>
        <v>#VALUE!</v>
      </c>
      <c r="I34" s="515" t="e">
        <f>SUMIFS('[16]项目支出总表（开）'!Y:Y,'[16]项目支出总表（开）'!C:C,MID(A34,4,7))+SUMIFS('[16]项目支出总表（开）'!Z:Z,'[16]项目支出总表（开）'!C:C,MID(A34,4,7))</f>
        <v>#VALUE!</v>
      </c>
      <c r="J34" s="524" t="e">
        <f t="shared" si="1"/>
        <v>#VALUE!</v>
      </c>
      <c r="K34" s="524" t="e">
        <f t="shared" si="2"/>
        <v>#VALUE!</v>
      </c>
      <c r="L34" s="524" t="str">
        <f t="shared" si="3"/>
        <v/>
      </c>
      <c r="O34" s="153"/>
      <c r="S34" s="515" t="e">
        <f t="shared" ref="S34:S36" si="35">SUM(T34:U34)</f>
        <v>#VALUE!</v>
      </c>
      <c r="T34" s="515" t="e">
        <f>SUMIFS('[16]基本支出总表（开）'!M:M,'[16]基本支出总表（开）'!C:C,MID(TRIM(A34),2,7))</f>
        <v>#VALUE!</v>
      </c>
      <c r="U34" s="515" t="e">
        <f>SUMIFS('[16]项目支出总表（开）'!V:V,'[16]项目支出总表（开）'!C:C,MID(TRIM(A34),2,7))</f>
        <v>#VALUE!</v>
      </c>
    </row>
    <row r="35" s="1" customFormat="1" ht="21.75" customHeight="1" spans="1:21">
      <c r="A35" s="514" t="s">
        <v>80</v>
      </c>
      <c r="B35" s="515">
        <v>523.75</v>
      </c>
      <c r="C35" s="515"/>
      <c r="D35" s="515"/>
      <c r="E35" s="515"/>
      <c r="F35" s="515">
        <v>523.75</v>
      </c>
      <c r="G35" s="515" t="e">
        <f t="shared" si="34"/>
        <v>#VALUE!</v>
      </c>
      <c r="H35" s="515" t="e">
        <f>SUMIFS('[16]基本支出总表（开）'!P:P,'[16]基本支出总表（开）'!C:C,MID(A35,4,7))</f>
        <v>#VALUE!</v>
      </c>
      <c r="I35" s="515" t="e">
        <f>SUMIFS('[16]项目支出总表（开）'!Y:Y,'[16]项目支出总表（开）'!C:C,MID(A35,4,7))+SUMIFS('[16]项目支出总表（开）'!Z:Z,'[16]项目支出总表（开）'!C:C,MID(A35,4,7))</f>
        <v>#VALUE!</v>
      </c>
      <c r="J35" s="524" t="e">
        <f t="shared" si="1"/>
        <v>#VALUE!</v>
      </c>
      <c r="K35" s="524" t="str">
        <f t="shared" si="2"/>
        <v/>
      </c>
      <c r="L35" s="524" t="e">
        <f t="shared" si="3"/>
        <v>#VALUE!</v>
      </c>
      <c r="O35" s="153"/>
      <c r="S35" s="515" t="e">
        <f t="shared" si="35"/>
        <v>#VALUE!</v>
      </c>
      <c r="T35" s="515" t="e">
        <f>SUMIFS('[16]基本支出总表（开）'!M:M,'[16]基本支出总表（开）'!C:C,MID(TRIM(A35),2,7))</f>
        <v>#VALUE!</v>
      </c>
      <c r="U35" s="515" t="e">
        <f>SUMIFS('[16]项目支出总表（开）'!V:V,'[16]项目支出总表（开）'!C:C,MID(TRIM(A35),2,7))</f>
        <v>#VALUE!</v>
      </c>
    </row>
    <row r="36" s="1" customFormat="1" ht="21.75" customHeight="1" spans="1:21">
      <c r="A36" s="516" t="s">
        <v>81</v>
      </c>
      <c r="B36" s="515"/>
      <c r="C36" s="515"/>
      <c r="D36" s="515"/>
      <c r="E36" s="515"/>
      <c r="F36" s="515"/>
      <c r="G36" s="515" t="e">
        <f t="shared" si="34"/>
        <v>#VALUE!</v>
      </c>
      <c r="H36" s="515" t="e">
        <f>SUMIFS('[16]基本支出总表（开）'!P:P,'[16]基本支出总表（开）'!C:C,MID(A36,4,7))</f>
        <v>#VALUE!</v>
      </c>
      <c r="I36" s="515" t="e">
        <f>SUMIFS('[16]项目支出总表（开）'!Y:Y,'[16]项目支出总表（开）'!C:C,MID(A36,4,7))+SUMIFS('[16]项目支出总表（开）'!Z:Z,'[16]项目支出总表（开）'!C:C,MID(A36,4,7))</f>
        <v>#VALUE!</v>
      </c>
      <c r="J36" s="524" t="str">
        <f t="shared" si="1"/>
        <v/>
      </c>
      <c r="K36" s="524" t="str">
        <f t="shared" si="2"/>
        <v/>
      </c>
      <c r="L36" s="524" t="str">
        <f t="shared" si="3"/>
        <v/>
      </c>
      <c r="O36" s="153"/>
      <c r="S36" s="515" t="e">
        <f t="shared" si="35"/>
        <v>#VALUE!</v>
      </c>
      <c r="T36" s="515" t="e">
        <f>SUMIFS('[16]基本支出总表（开）'!M:M,'[16]基本支出总表（开）'!C:C,MID(TRIM(A36),2,7))</f>
        <v>#VALUE!</v>
      </c>
      <c r="U36" s="515" t="e">
        <f>SUMIFS('[16]项目支出总表（开）'!V:V,'[16]项目支出总表（开）'!C:C,MID(TRIM(A36),2,7))</f>
        <v>#VALUE!</v>
      </c>
    </row>
    <row r="37" s="1" customFormat="1" ht="21.75" customHeight="1" spans="1:21">
      <c r="A37" s="512" t="s">
        <v>82</v>
      </c>
      <c r="B37" s="513">
        <f t="shared" ref="B37:I37" si="36">SUM(B38:B40)</f>
        <v>2549.516789</v>
      </c>
      <c r="C37" s="513">
        <f t="shared" si="36"/>
        <v>1734.116789</v>
      </c>
      <c r="D37" s="513">
        <f t="shared" si="36"/>
        <v>1637.670049</v>
      </c>
      <c r="E37" s="513">
        <f t="shared" si="36"/>
        <v>96.44674</v>
      </c>
      <c r="F37" s="513">
        <f t="shared" si="36"/>
        <v>815.4</v>
      </c>
      <c r="G37" s="513" t="e">
        <f t="shared" si="36"/>
        <v>#VALUE!</v>
      </c>
      <c r="H37" s="513" t="e">
        <f t="shared" si="36"/>
        <v>#VALUE!</v>
      </c>
      <c r="I37" s="513" t="e">
        <f t="shared" si="36"/>
        <v>#VALUE!</v>
      </c>
      <c r="J37" s="523" t="e">
        <f t="shared" si="1"/>
        <v>#VALUE!</v>
      </c>
      <c r="K37" s="523" t="e">
        <f t="shared" si="2"/>
        <v>#VALUE!</v>
      </c>
      <c r="L37" s="523" t="e">
        <f t="shared" si="3"/>
        <v>#VALUE!</v>
      </c>
      <c r="O37" s="153"/>
      <c r="S37" s="513" t="e">
        <f t="shared" ref="S37:U37" si="37">SUM(S38:S40)</f>
        <v>#VALUE!</v>
      </c>
      <c r="T37" s="513" t="e">
        <f t="shared" si="37"/>
        <v>#VALUE!</v>
      </c>
      <c r="U37" s="513" t="e">
        <f t="shared" si="37"/>
        <v>#VALUE!</v>
      </c>
    </row>
    <row r="38" s="1" customFormat="1" ht="21.75" customHeight="1" spans="1:21">
      <c r="A38" s="514" t="s">
        <v>83</v>
      </c>
      <c r="B38" s="515">
        <v>1734.116789</v>
      </c>
      <c r="C38" s="515">
        <v>1734.116789</v>
      </c>
      <c r="D38" s="515">
        <v>1637.670049</v>
      </c>
      <c r="E38" s="515">
        <v>96.44674</v>
      </c>
      <c r="F38" s="515"/>
      <c r="G38" s="515" t="e">
        <f t="shared" ref="G38:G40" si="38">SUM(H38:I38)</f>
        <v>#VALUE!</v>
      </c>
      <c r="H38" s="515" t="e">
        <f>SUMIFS('[16]基本支出总表（开）'!P:P,'[16]基本支出总表（开）'!C:C,MID(A38,4,7))</f>
        <v>#VALUE!</v>
      </c>
      <c r="I38" s="515" t="e">
        <f>SUMIFS('[16]项目支出总表（开）'!Y:Y,'[16]项目支出总表（开）'!C:C,MID(A38,4,7))+SUMIFS('[16]项目支出总表（开）'!Z:Z,'[16]项目支出总表（开）'!C:C,MID(A38,4,7))</f>
        <v>#VALUE!</v>
      </c>
      <c r="J38" s="524" t="e">
        <f t="shared" si="1"/>
        <v>#VALUE!</v>
      </c>
      <c r="K38" s="524" t="e">
        <f t="shared" si="2"/>
        <v>#VALUE!</v>
      </c>
      <c r="L38" s="524" t="str">
        <f t="shared" si="3"/>
        <v/>
      </c>
      <c r="O38" s="153"/>
      <c r="S38" s="515" t="e">
        <f t="shared" ref="S38:S40" si="39">SUM(T38:U38)</f>
        <v>#VALUE!</v>
      </c>
      <c r="T38" s="515" t="e">
        <f>SUMIFS('[16]基本支出总表（开）'!M:M,'[16]基本支出总表（开）'!C:C,MID(TRIM(A38),2,7))</f>
        <v>#VALUE!</v>
      </c>
      <c r="U38" s="515" t="e">
        <f>SUMIFS('[16]项目支出总表（开）'!V:V,'[16]项目支出总表（开）'!C:C,MID(TRIM(A38),2,7))</f>
        <v>#VALUE!</v>
      </c>
    </row>
    <row r="39" s="1" customFormat="1" ht="21.75" customHeight="1" spans="1:21">
      <c r="A39" s="514" t="s">
        <v>84</v>
      </c>
      <c r="B39" s="515">
        <v>36.4</v>
      </c>
      <c r="C39" s="515"/>
      <c r="D39" s="515"/>
      <c r="E39" s="515"/>
      <c r="F39" s="515">
        <v>36.4</v>
      </c>
      <c r="G39" s="515" t="e">
        <f t="shared" si="38"/>
        <v>#VALUE!</v>
      </c>
      <c r="H39" s="515" t="e">
        <f>SUMIFS('[16]基本支出总表（开）'!P:P,'[16]基本支出总表（开）'!C:C,MID(A39,4,7))</f>
        <v>#VALUE!</v>
      </c>
      <c r="I39" s="515" t="e">
        <f>SUMIFS('[16]项目支出总表（开）'!Y:Y,'[16]项目支出总表（开）'!C:C,MID(A39,4,7))+SUMIFS('[16]项目支出总表（开）'!Z:Z,'[16]项目支出总表（开）'!C:C,MID(A39,4,7))</f>
        <v>#VALUE!</v>
      </c>
      <c r="J39" s="524" t="e">
        <f t="shared" si="1"/>
        <v>#VALUE!</v>
      </c>
      <c r="K39" s="524" t="str">
        <f t="shared" si="2"/>
        <v/>
      </c>
      <c r="L39" s="524" t="e">
        <f t="shared" si="3"/>
        <v>#VALUE!</v>
      </c>
      <c r="O39" s="153"/>
      <c r="S39" s="515" t="e">
        <f t="shared" si="39"/>
        <v>#VALUE!</v>
      </c>
      <c r="T39" s="515" t="e">
        <f>SUMIFS('[16]基本支出总表（开）'!M:M,'[16]基本支出总表（开）'!C:C,MID(TRIM(A39),2,7))</f>
        <v>#VALUE!</v>
      </c>
      <c r="U39" s="515" t="e">
        <f>SUMIFS('[16]项目支出总表（开）'!V:V,'[16]项目支出总表（开）'!C:C,MID(TRIM(A39),2,7))</f>
        <v>#VALUE!</v>
      </c>
    </row>
    <row r="40" s="1" customFormat="1" ht="21.75" customHeight="1" spans="1:21">
      <c r="A40" s="514" t="s">
        <v>85</v>
      </c>
      <c r="B40" s="515">
        <v>779</v>
      </c>
      <c r="C40" s="515"/>
      <c r="D40" s="515"/>
      <c r="E40" s="515"/>
      <c r="F40" s="515">
        <v>779</v>
      </c>
      <c r="G40" s="515" t="e">
        <f t="shared" si="38"/>
        <v>#VALUE!</v>
      </c>
      <c r="H40" s="515" t="e">
        <f>SUMIFS('[16]基本支出总表（开）'!P:P,'[16]基本支出总表（开）'!C:C,MID(A40,4,7))</f>
        <v>#VALUE!</v>
      </c>
      <c r="I40" s="515" t="e">
        <f>SUMIFS('[16]项目支出总表（开）'!Y:Y,'[16]项目支出总表（开）'!C:C,MID(A40,4,7))+SUMIFS('[16]项目支出总表（开）'!Z:Z,'[16]项目支出总表（开）'!C:C,MID(A40,4,7))</f>
        <v>#VALUE!</v>
      </c>
      <c r="J40" s="524" t="e">
        <f t="shared" si="1"/>
        <v>#VALUE!</v>
      </c>
      <c r="K40" s="524" t="str">
        <f t="shared" si="2"/>
        <v/>
      </c>
      <c r="L40" s="524" t="e">
        <f t="shared" si="3"/>
        <v>#VALUE!</v>
      </c>
      <c r="O40" s="153"/>
      <c r="S40" s="515" t="e">
        <f t="shared" si="39"/>
        <v>#VALUE!</v>
      </c>
      <c r="T40" s="515" t="e">
        <f>SUMIFS('[16]基本支出总表（开）'!M:M,'[16]基本支出总表（开）'!C:C,MID(TRIM(A40),2,7))</f>
        <v>#VALUE!</v>
      </c>
      <c r="U40" s="515" t="e">
        <f>SUMIFS('[16]项目支出总表（开）'!V:V,'[16]项目支出总表（开）'!C:C,MID(TRIM(A40),2,7))</f>
        <v>#VALUE!</v>
      </c>
    </row>
    <row r="41" s="1" customFormat="1" ht="21.75" customHeight="1" spans="1:21">
      <c r="A41" s="517" t="s">
        <v>86</v>
      </c>
      <c r="B41" s="513">
        <f t="shared" ref="B41:I41" si="40">SUM(B42:B42)</f>
        <v>0</v>
      </c>
      <c r="C41" s="513">
        <f t="shared" si="40"/>
        <v>0</v>
      </c>
      <c r="D41" s="513">
        <f t="shared" si="40"/>
        <v>0</v>
      </c>
      <c r="E41" s="513">
        <f t="shared" si="40"/>
        <v>0</v>
      </c>
      <c r="F41" s="513">
        <f t="shared" si="40"/>
        <v>0</v>
      </c>
      <c r="G41" s="513" t="e">
        <f t="shared" si="40"/>
        <v>#VALUE!</v>
      </c>
      <c r="H41" s="513" t="e">
        <f t="shared" si="40"/>
        <v>#VALUE!</v>
      </c>
      <c r="I41" s="513" t="e">
        <f t="shared" si="40"/>
        <v>#VALUE!</v>
      </c>
      <c r="J41" s="523" t="str">
        <f t="shared" si="1"/>
        <v/>
      </c>
      <c r="K41" s="523" t="str">
        <f t="shared" si="2"/>
        <v/>
      </c>
      <c r="L41" s="523" t="str">
        <f t="shared" si="3"/>
        <v/>
      </c>
      <c r="O41" s="153"/>
      <c r="S41" s="513" t="e">
        <f t="shared" ref="S41:U41" si="41">SUM(S42:S42)</f>
        <v>#VALUE!</v>
      </c>
      <c r="T41" s="513" t="e">
        <f t="shared" si="41"/>
        <v>#VALUE!</v>
      </c>
      <c r="U41" s="513" t="e">
        <f t="shared" si="41"/>
        <v>#VALUE!</v>
      </c>
    </row>
    <row r="42" s="1" customFormat="1" ht="21.75" customHeight="1" spans="1:21">
      <c r="A42" s="516" t="s">
        <v>87</v>
      </c>
      <c r="B42" s="515"/>
      <c r="C42" s="515"/>
      <c r="D42" s="515"/>
      <c r="E42" s="515"/>
      <c r="F42" s="515"/>
      <c r="G42" s="515" t="e">
        <f t="shared" ref="G42:G47" si="42">SUM(H42:I42)</f>
        <v>#VALUE!</v>
      </c>
      <c r="H42" s="515" t="e">
        <f>SUMIFS('[16]基本支出总表（开）'!P:P,'[16]基本支出总表（开）'!C:C,MID(A42,4,7))</f>
        <v>#VALUE!</v>
      </c>
      <c r="I42" s="515" t="e">
        <f>SUMIFS('[16]项目支出总表（开）'!Y:Y,'[16]项目支出总表（开）'!C:C,MID(A42,4,7))+SUMIFS('[16]项目支出总表（开）'!Z:Z,'[16]项目支出总表（开）'!C:C,MID(A42,4,7))</f>
        <v>#VALUE!</v>
      </c>
      <c r="J42" s="524" t="str">
        <f t="shared" si="1"/>
        <v/>
      </c>
      <c r="K42" s="524" t="str">
        <f t="shared" si="2"/>
        <v/>
      </c>
      <c r="L42" s="524" t="str">
        <f t="shared" si="3"/>
        <v/>
      </c>
      <c r="O42" s="153"/>
      <c r="S42" s="515" t="e">
        <f t="shared" ref="S42:S47" si="43">SUM(T42:U42)</f>
        <v>#VALUE!</v>
      </c>
      <c r="T42" s="515" t="e">
        <f>SUMIFS('[16]基本支出总表（开）'!M:M,'[16]基本支出总表（开）'!C:C,MID(TRIM(A42),2,7))</f>
        <v>#VALUE!</v>
      </c>
      <c r="U42" s="515" t="e">
        <f>SUMIFS('[16]项目支出总表（开）'!V:V,'[16]项目支出总表（开）'!C:C,MID(TRIM(A42),2,7))</f>
        <v>#VALUE!</v>
      </c>
    </row>
    <row r="43" s="1" customFormat="1" ht="21.75" customHeight="1" spans="1:21">
      <c r="A43" s="512" t="s">
        <v>88</v>
      </c>
      <c r="B43" s="513">
        <f t="shared" ref="B43:I43" si="44">SUM(B44:B47)</f>
        <v>275.110553</v>
      </c>
      <c r="C43" s="513">
        <f t="shared" si="44"/>
        <v>186.640553</v>
      </c>
      <c r="D43" s="513">
        <f t="shared" si="44"/>
        <v>170.713841</v>
      </c>
      <c r="E43" s="513">
        <f t="shared" si="44"/>
        <v>15.926712</v>
      </c>
      <c r="F43" s="513">
        <f t="shared" si="44"/>
        <v>88.47</v>
      </c>
      <c r="G43" s="513" t="e">
        <f t="shared" si="44"/>
        <v>#VALUE!</v>
      </c>
      <c r="H43" s="513" t="e">
        <f t="shared" si="44"/>
        <v>#VALUE!</v>
      </c>
      <c r="I43" s="513" t="e">
        <f t="shared" si="44"/>
        <v>#VALUE!</v>
      </c>
      <c r="J43" s="523" t="e">
        <f t="shared" si="1"/>
        <v>#VALUE!</v>
      </c>
      <c r="K43" s="523" t="e">
        <f t="shared" si="2"/>
        <v>#VALUE!</v>
      </c>
      <c r="L43" s="523" t="e">
        <f t="shared" si="3"/>
        <v>#VALUE!</v>
      </c>
      <c r="O43" s="153"/>
      <c r="S43" s="513" t="e">
        <f t="shared" ref="S43:U43" si="45">SUM(S44:S47)</f>
        <v>#VALUE!</v>
      </c>
      <c r="T43" s="513" t="e">
        <f t="shared" si="45"/>
        <v>#VALUE!</v>
      </c>
      <c r="U43" s="513" t="e">
        <f t="shared" si="45"/>
        <v>#VALUE!</v>
      </c>
    </row>
    <row r="44" s="1" customFormat="1" ht="21.75" customHeight="1" spans="1:21">
      <c r="A44" s="514" t="s">
        <v>89</v>
      </c>
      <c r="B44" s="515">
        <v>186.640553</v>
      </c>
      <c r="C44" s="515">
        <v>186.640553</v>
      </c>
      <c r="D44" s="515">
        <v>170.713841</v>
      </c>
      <c r="E44" s="515">
        <v>15.926712</v>
      </c>
      <c r="F44" s="515"/>
      <c r="G44" s="515" t="e">
        <f t="shared" si="42"/>
        <v>#VALUE!</v>
      </c>
      <c r="H44" s="515" t="e">
        <f>SUMIFS('[16]基本支出总表（开）'!P:P,'[16]基本支出总表（开）'!C:C,MID(A44,4,7))</f>
        <v>#VALUE!</v>
      </c>
      <c r="I44" s="515" t="e">
        <f>SUMIFS('[16]项目支出总表（开）'!Y:Y,'[16]项目支出总表（开）'!C:C,MID(A44,4,7))+SUMIFS('[16]项目支出总表（开）'!Z:Z,'[16]项目支出总表（开）'!C:C,MID(A44,4,7))</f>
        <v>#VALUE!</v>
      </c>
      <c r="J44" s="524" t="e">
        <f t="shared" si="1"/>
        <v>#VALUE!</v>
      </c>
      <c r="K44" s="524" t="e">
        <f t="shared" si="2"/>
        <v>#VALUE!</v>
      </c>
      <c r="L44" s="524" t="str">
        <f t="shared" si="3"/>
        <v/>
      </c>
      <c r="O44" s="153"/>
      <c r="S44" s="515" t="e">
        <f t="shared" si="43"/>
        <v>#VALUE!</v>
      </c>
      <c r="T44" s="515" t="e">
        <f>SUMIFS('[16]基本支出总表（开）'!M:M,'[16]基本支出总表（开）'!C:C,MID(TRIM(A44),2,7))</f>
        <v>#VALUE!</v>
      </c>
      <c r="U44" s="515" t="e">
        <f>SUMIFS('[16]项目支出总表（开）'!V:V,'[16]项目支出总表（开）'!C:C,MID(TRIM(A44),2,7))</f>
        <v>#VALUE!</v>
      </c>
    </row>
    <row r="45" s="1" customFormat="1" ht="21.75" customHeight="1" spans="1:21">
      <c r="A45" s="514" t="s">
        <v>90</v>
      </c>
      <c r="B45" s="515">
        <v>19.97</v>
      </c>
      <c r="C45" s="515"/>
      <c r="D45" s="515"/>
      <c r="E45" s="515"/>
      <c r="F45" s="515">
        <v>19.97</v>
      </c>
      <c r="G45" s="515" t="e">
        <f t="shared" si="42"/>
        <v>#VALUE!</v>
      </c>
      <c r="H45" s="515" t="e">
        <f>SUMIFS('[16]基本支出总表（开）'!P:P,'[16]基本支出总表（开）'!C:C,MID(A45,4,7))</f>
        <v>#VALUE!</v>
      </c>
      <c r="I45" s="515" t="e">
        <f>SUMIFS('[16]项目支出总表（开）'!Y:Y,'[16]项目支出总表（开）'!C:C,MID(A45,4,7))+SUMIFS('[16]项目支出总表（开）'!Z:Z,'[16]项目支出总表（开）'!C:C,MID(A45,4,7))</f>
        <v>#VALUE!</v>
      </c>
      <c r="J45" s="524" t="e">
        <f t="shared" si="1"/>
        <v>#VALUE!</v>
      </c>
      <c r="K45" s="524" t="str">
        <f t="shared" si="2"/>
        <v/>
      </c>
      <c r="L45" s="524" t="e">
        <f t="shared" si="3"/>
        <v>#VALUE!</v>
      </c>
      <c r="O45" s="153"/>
      <c r="S45" s="515" t="e">
        <f t="shared" si="43"/>
        <v>#VALUE!</v>
      </c>
      <c r="T45" s="515" t="e">
        <f>SUMIFS('[16]基本支出总表（开）'!M:M,'[16]基本支出总表（开）'!C:C,MID(TRIM(A45),2,7))</f>
        <v>#VALUE!</v>
      </c>
      <c r="U45" s="515" t="e">
        <f>SUMIFS('[16]项目支出总表（开）'!V:V,'[16]项目支出总表（开）'!C:C,MID(TRIM(A45),2,7))</f>
        <v>#VALUE!</v>
      </c>
    </row>
    <row r="46" s="1" customFormat="1" ht="21.75" customHeight="1" spans="1:21">
      <c r="A46" s="514" t="s">
        <v>91</v>
      </c>
      <c r="B46" s="515">
        <v>55</v>
      </c>
      <c r="C46" s="515"/>
      <c r="D46" s="515"/>
      <c r="E46" s="515"/>
      <c r="F46" s="515">
        <v>55</v>
      </c>
      <c r="G46" s="515" t="e">
        <f t="shared" si="42"/>
        <v>#VALUE!</v>
      </c>
      <c r="H46" s="515" t="e">
        <f>SUMIFS('[16]基本支出总表（开）'!P:P,'[16]基本支出总表（开）'!C:C,MID(A46,4,7))</f>
        <v>#VALUE!</v>
      </c>
      <c r="I46" s="515" t="e">
        <f>SUMIFS('[16]项目支出总表（开）'!Y:Y,'[16]项目支出总表（开）'!C:C,MID(A46,4,7))+SUMIFS('[16]项目支出总表（开）'!Z:Z,'[16]项目支出总表（开）'!C:C,MID(A46,4,7))</f>
        <v>#VALUE!</v>
      </c>
      <c r="J46" s="524" t="e">
        <f t="shared" si="1"/>
        <v>#VALUE!</v>
      </c>
      <c r="K46" s="524" t="str">
        <f t="shared" si="2"/>
        <v/>
      </c>
      <c r="L46" s="524" t="e">
        <f t="shared" si="3"/>
        <v>#VALUE!</v>
      </c>
      <c r="O46" s="153"/>
      <c r="S46" s="515" t="e">
        <f t="shared" si="43"/>
        <v>#VALUE!</v>
      </c>
      <c r="T46" s="515" t="e">
        <f>SUMIFS('[16]基本支出总表（开）'!M:M,'[16]基本支出总表（开）'!C:C,MID(TRIM(A46),2,7))</f>
        <v>#VALUE!</v>
      </c>
      <c r="U46" s="515" t="e">
        <f>SUMIFS('[16]项目支出总表（开）'!V:V,'[16]项目支出总表（开）'!C:C,MID(TRIM(A46),2,7))</f>
        <v>#VALUE!</v>
      </c>
    </row>
    <row r="47" s="1" customFormat="1" ht="21.75" customHeight="1" spans="1:21">
      <c r="A47" s="514" t="s">
        <v>92</v>
      </c>
      <c r="B47" s="515">
        <v>13.5</v>
      </c>
      <c r="C47" s="515"/>
      <c r="D47" s="515"/>
      <c r="E47" s="515"/>
      <c r="F47" s="515">
        <v>13.5</v>
      </c>
      <c r="G47" s="515" t="e">
        <f t="shared" si="42"/>
        <v>#VALUE!</v>
      </c>
      <c r="H47" s="515" t="e">
        <f>SUMIFS('[16]基本支出总表（开）'!P:P,'[16]基本支出总表（开）'!C:C,MID(A47,4,7))</f>
        <v>#VALUE!</v>
      </c>
      <c r="I47" s="515" t="e">
        <f>SUMIFS('[16]项目支出总表（开）'!Y:Y,'[16]项目支出总表（开）'!C:C,MID(A47,4,7))+SUMIFS('[16]项目支出总表（开）'!Z:Z,'[16]项目支出总表（开）'!C:C,MID(A47,4,7))</f>
        <v>#VALUE!</v>
      </c>
      <c r="J47" s="524" t="e">
        <f t="shared" si="1"/>
        <v>#VALUE!</v>
      </c>
      <c r="K47" s="524" t="str">
        <f t="shared" si="2"/>
        <v/>
      </c>
      <c r="L47" s="524" t="e">
        <f t="shared" si="3"/>
        <v>#VALUE!</v>
      </c>
      <c r="O47" s="153"/>
      <c r="S47" s="515" t="e">
        <f t="shared" si="43"/>
        <v>#VALUE!</v>
      </c>
      <c r="T47" s="515" t="e">
        <f>SUMIFS('[16]基本支出总表（开）'!M:M,'[16]基本支出总表（开）'!C:C,MID(TRIM(A47),2,7))</f>
        <v>#VALUE!</v>
      </c>
      <c r="U47" s="515" t="e">
        <f>SUMIFS('[16]项目支出总表（开）'!V:V,'[16]项目支出总表（开）'!C:C,MID(TRIM(A47),2,7))</f>
        <v>#VALUE!</v>
      </c>
    </row>
    <row r="48" s="1" customFormat="1" ht="21.75" customHeight="1" spans="1:21">
      <c r="A48" s="512" t="s">
        <v>93</v>
      </c>
      <c r="B48" s="513">
        <f t="shared" ref="B48:I48" si="46">SUM(B49:B51)</f>
        <v>845.125936</v>
      </c>
      <c r="C48" s="513">
        <f t="shared" si="46"/>
        <v>573.945936</v>
      </c>
      <c r="D48" s="513">
        <f t="shared" si="46"/>
        <v>527.114089</v>
      </c>
      <c r="E48" s="513">
        <f t="shared" si="46"/>
        <v>46.831847</v>
      </c>
      <c r="F48" s="513">
        <f t="shared" si="46"/>
        <v>271.18</v>
      </c>
      <c r="G48" s="513" t="e">
        <f t="shared" si="46"/>
        <v>#VALUE!</v>
      </c>
      <c r="H48" s="513" t="e">
        <f t="shared" si="46"/>
        <v>#VALUE!</v>
      </c>
      <c r="I48" s="513" t="e">
        <f t="shared" si="46"/>
        <v>#VALUE!</v>
      </c>
      <c r="J48" s="523" t="e">
        <f t="shared" si="1"/>
        <v>#VALUE!</v>
      </c>
      <c r="K48" s="523" t="e">
        <f t="shared" si="2"/>
        <v>#VALUE!</v>
      </c>
      <c r="L48" s="523" t="e">
        <f t="shared" si="3"/>
        <v>#VALUE!</v>
      </c>
      <c r="O48" s="153"/>
      <c r="S48" s="513" t="e">
        <f t="shared" ref="S48:U48" si="47">SUM(S49:S51)</f>
        <v>#VALUE!</v>
      </c>
      <c r="T48" s="513" t="e">
        <f t="shared" si="47"/>
        <v>#VALUE!</v>
      </c>
      <c r="U48" s="513" t="e">
        <f t="shared" si="47"/>
        <v>#VALUE!</v>
      </c>
    </row>
    <row r="49" s="1" customFormat="1" ht="21.75" customHeight="1" spans="1:21">
      <c r="A49" s="514" t="s">
        <v>94</v>
      </c>
      <c r="B49" s="515">
        <v>573.945936</v>
      </c>
      <c r="C49" s="515">
        <v>573.945936</v>
      </c>
      <c r="D49" s="515">
        <v>527.114089</v>
      </c>
      <c r="E49" s="515">
        <v>46.831847</v>
      </c>
      <c r="F49" s="515"/>
      <c r="G49" s="515" t="e">
        <f t="shared" ref="G49:G51" si="48">SUM(H49:I49)</f>
        <v>#VALUE!</v>
      </c>
      <c r="H49" s="515" t="e">
        <f>SUMIFS('[16]基本支出总表（开）'!P:P,'[16]基本支出总表（开）'!C:C,MID(A49,4,7))</f>
        <v>#VALUE!</v>
      </c>
      <c r="I49" s="515" t="e">
        <f>SUMIFS('[16]项目支出总表（开）'!Y:Y,'[16]项目支出总表（开）'!C:C,MID(A49,4,7))+SUMIFS('[16]项目支出总表（开）'!Z:Z,'[16]项目支出总表（开）'!C:C,MID(A49,4,7))</f>
        <v>#VALUE!</v>
      </c>
      <c r="J49" s="524" t="e">
        <f t="shared" si="1"/>
        <v>#VALUE!</v>
      </c>
      <c r="K49" s="524" t="e">
        <f t="shared" si="2"/>
        <v>#VALUE!</v>
      </c>
      <c r="L49" s="524" t="str">
        <f t="shared" si="3"/>
        <v/>
      </c>
      <c r="O49" s="153"/>
      <c r="S49" s="515" t="e">
        <f t="shared" ref="S49:S51" si="49">SUM(T49:U49)</f>
        <v>#VALUE!</v>
      </c>
      <c r="T49" s="515" t="e">
        <f>SUMIFS('[16]基本支出总表（开）'!M:M,'[16]基本支出总表（开）'!C:C,MID(TRIM(A49),2,7))</f>
        <v>#VALUE!</v>
      </c>
      <c r="U49" s="515" t="e">
        <f>SUMIFS('[16]项目支出总表（开）'!V:V,'[16]项目支出总表（开）'!C:C,MID(TRIM(A49),2,7))</f>
        <v>#VALUE!</v>
      </c>
    </row>
    <row r="50" s="1" customFormat="1" ht="21.75" customHeight="1" spans="1:21">
      <c r="A50" s="514" t="s">
        <v>95</v>
      </c>
      <c r="B50" s="515">
        <v>73.78</v>
      </c>
      <c r="C50" s="515"/>
      <c r="D50" s="515"/>
      <c r="E50" s="515"/>
      <c r="F50" s="515">
        <v>73.78</v>
      </c>
      <c r="G50" s="515" t="e">
        <f t="shared" si="48"/>
        <v>#VALUE!</v>
      </c>
      <c r="H50" s="515" t="e">
        <f>SUMIFS('[16]基本支出总表（开）'!P:P,'[16]基本支出总表（开）'!C:C,MID(A50,4,7))</f>
        <v>#VALUE!</v>
      </c>
      <c r="I50" s="515" t="e">
        <f>SUMIFS('[16]项目支出总表（开）'!Y:Y,'[16]项目支出总表（开）'!C:C,MID(A50,4,7))+SUMIFS('[16]项目支出总表（开）'!Z:Z,'[16]项目支出总表（开）'!C:C,MID(A50,4,7))</f>
        <v>#VALUE!</v>
      </c>
      <c r="J50" s="524" t="e">
        <f t="shared" si="1"/>
        <v>#VALUE!</v>
      </c>
      <c r="K50" s="524" t="str">
        <f t="shared" si="2"/>
        <v/>
      </c>
      <c r="L50" s="524" t="e">
        <f t="shared" si="3"/>
        <v>#VALUE!</v>
      </c>
      <c r="O50" s="153"/>
      <c r="S50" s="515" t="e">
        <f t="shared" si="49"/>
        <v>#VALUE!</v>
      </c>
      <c r="T50" s="515" t="e">
        <f>SUMIFS('[16]基本支出总表（开）'!M:M,'[16]基本支出总表（开）'!C:C,MID(TRIM(A50),2,7))</f>
        <v>#VALUE!</v>
      </c>
      <c r="U50" s="515" t="e">
        <f>SUMIFS('[16]项目支出总表（开）'!V:V,'[16]项目支出总表（开）'!C:C,MID(TRIM(A50),2,7))</f>
        <v>#VALUE!</v>
      </c>
    </row>
    <row r="51" s="1" customFormat="1" ht="21.75" customHeight="1" spans="1:21">
      <c r="A51" s="514" t="s">
        <v>96</v>
      </c>
      <c r="B51" s="515">
        <v>197.4</v>
      </c>
      <c r="C51" s="515"/>
      <c r="D51" s="515"/>
      <c r="E51" s="515"/>
      <c r="F51" s="515">
        <v>197.4</v>
      </c>
      <c r="G51" s="515" t="e">
        <f t="shared" si="48"/>
        <v>#VALUE!</v>
      </c>
      <c r="H51" s="515" t="e">
        <f>SUMIFS('[16]基本支出总表（开）'!P:P,'[16]基本支出总表（开）'!C:C,MID(A51,4,7))</f>
        <v>#VALUE!</v>
      </c>
      <c r="I51" s="515" t="e">
        <f>SUMIFS('[16]项目支出总表（开）'!Y:Y,'[16]项目支出总表（开）'!C:C,MID(A51,4,7))+SUMIFS('[16]项目支出总表（开）'!Z:Z,'[16]项目支出总表（开）'!C:C,MID(A51,4,7))</f>
        <v>#VALUE!</v>
      </c>
      <c r="J51" s="524" t="e">
        <f t="shared" si="1"/>
        <v>#VALUE!</v>
      </c>
      <c r="K51" s="524" t="str">
        <f t="shared" si="2"/>
        <v/>
      </c>
      <c r="L51" s="524" t="e">
        <f t="shared" si="3"/>
        <v>#VALUE!</v>
      </c>
      <c r="O51" s="153"/>
      <c r="S51" s="515" t="e">
        <f t="shared" si="49"/>
        <v>#VALUE!</v>
      </c>
      <c r="T51" s="515" t="e">
        <f>SUMIFS('[16]基本支出总表（开）'!M:M,'[16]基本支出总表（开）'!C:C,MID(TRIM(A51),2,7))</f>
        <v>#VALUE!</v>
      </c>
      <c r="U51" s="515" t="e">
        <f>SUMIFS('[16]项目支出总表（开）'!V:V,'[16]项目支出总表（开）'!C:C,MID(TRIM(A51),2,7))</f>
        <v>#VALUE!</v>
      </c>
    </row>
    <row r="52" s="1" customFormat="1" ht="21.75" customHeight="1" spans="1:21">
      <c r="A52" s="512" t="s">
        <v>97</v>
      </c>
      <c r="B52" s="513">
        <f t="shared" ref="B52:I52" si="50">SUM(B53:B54)</f>
        <v>1316.680627</v>
      </c>
      <c r="C52" s="513">
        <f t="shared" si="50"/>
        <v>261.680627</v>
      </c>
      <c r="D52" s="513">
        <f t="shared" si="50"/>
        <v>236.337656</v>
      </c>
      <c r="E52" s="513">
        <f t="shared" si="50"/>
        <v>25.342971</v>
      </c>
      <c r="F52" s="513">
        <f t="shared" si="50"/>
        <v>1055</v>
      </c>
      <c r="G52" s="513" t="e">
        <f t="shared" si="50"/>
        <v>#VALUE!</v>
      </c>
      <c r="H52" s="513" t="e">
        <f t="shared" si="50"/>
        <v>#VALUE!</v>
      </c>
      <c r="I52" s="513" t="e">
        <f t="shared" si="50"/>
        <v>#VALUE!</v>
      </c>
      <c r="J52" s="523" t="e">
        <f t="shared" si="1"/>
        <v>#VALUE!</v>
      </c>
      <c r="K52" s="523" t="e">
        <f t="shared" si="2"/>
        <v>#VALUE!</v>
      </c>
      <c r="L52" s="523" t="e">
        <f t="shared" si="3"/>
        <v>#VALUE!</v>
      </c>
      <c r="O52" s="153"/>
      <c r="S52" s="513" t="e">
        <f t="shared" ref="S52:U52" si="51">SUM(S53:S54)</f>
        <v>#VALUE!</v>
      </c>
      <c r="T52" s="513" t="e">
        <f t="shared" si="51"/>
        <v>#VALUE!</v>
      </c>
      <c r="U52" s="513" t="e">
        <f t="shared" si="51"/>
        <v>#VALUE!</v>
      </c>
    </row>
    <row r="53" s="1" customFormat="1" ht="21.75" customHeight="1" spans="1:21">
      <c r="A53" s="514" t="s">
        <v>98</v>
      </c>
      <c r="B53" s="515">
        <v>261.680627</v>
      </c>
      <c r="C53" s="515">
        <v>261.680627</v>
      </c>
      <c r="D53" s="515">
        <v>236.337656</v>
      </c>
      <c r="E53" s="515">
        <v>25.342971</v>
      </c>
      <c r="F53" s="515"/>
      <c r="G53" s="515" t="e">
        <f t="shared" ref="G53:G59" si="52">SUM(H53:I53)</f>
        <v>#VALUE!</v>
      </c>
      <c r="H53" s="515" t="e">
        <f>SUMIFS('[16]基本支出总表（开）'!P:P,'[16]基本支出总表（开）'!C:C,MID(A53,4,7))</f>
        <v>#VALUE!</v>
      </c>
      <c r="I53" s="515" t="e">
        <f>SUMIFS('[16]项目支出总表（开）'!Y:Y,'[16]项目支出总表（开）'!C:C,MID(A53,4,7))+SUMIFS('[16]项目支出总表（开）'!Z:Z,'[16]项目支出总表（开）'!C:C,MID(A53,4,7))</f>
        <v>#VALUE!</v>
      </c>
      <c r="J53" s="524" t="e">
        <f t="shared" si="1"/>
        <v>#VALUE!</v>
      </c>
      <c r="K53" s="524" t="e">
        <f t="shared" si="2"/>
        <v>#VALUE!</v>
      </c>
      <c r="L53" s="524" t="str">
        <f t="shared" si="3"/>
        <v/>
      </c>
      <c r="O53" s="153"/>
      <c r="S53" s="515" t="e">
        <f t="shared" ref="S53:S59" si="53">SUM(T53:U53)</f>
        <v>#VALUE!</v>
      </c>
      <c r="T53" s="515" t="e">
        <f>SUMIFS('[16]基本支出总表（开）'!M:M,'[16]基本支出总表（开）'!C:C,MID(TRIM(A53),2,7))</f>
        <v>#VALUE!</v>
      </c>
      <c r="U53" s="515" t="e">
        <f>SUMIFS('[16]项目支出总表（开）'!V:V,'[16]项目支出总表（开）'!C:C,MID(TRIM(A53),2,7))</f>
        <v>#VALUE!</v>
      </c>
    </row>
    <row r="54" s="1" customFormat="1" ht="21.75" customHeight="1" spans="1:21">
      <c r="A54" s="514" t="s">
        <v>99</v>
      </c>
      <c r="B54" s="515">
        <v>1055</v>
      </c>
      <c r="C54" s="515"/>
      <c r="D54" s="515"/>
      <c r="E54" s="515"/>
      <c r="F54" s="515">
        <v>1055</v>
      </c>
      <c r="G54" s="515" t="e">
        <f t="shared" si="52"/>
        <v>#VALUE!</v>
      </c>
      <c r="H54" s="515" t="e">
        <f>SUMIFS('[16]基本支出总表（开）'!P:P,'[16]基本支出总表（开）'!C:C,MID(A54,4,7))</f>
        <v>#VALUE!</v>
      </c>
      <c r="I54" s="515" t="e">
        <f>SUMIFS('[16]项目支出总表（开）'!Y:Y,'[16]项目支出总表（开）'!C:C,MID(A54,4,7))+SUMIFS('[16]项目支出总表（开）'!Z:Z,'[16]项目支出总表（开）'!C:C,MID(A54,4,7))</f>
        <v>#VALUE!</v>
      </c>
      <c r="J54" s="524" t="e">
        <f t="shared" si="1"/>
        <v>#VALUE!</v>
      </c>
      <c r="K54" s="524" t="str">
        <f t="shared" si="2"/>
        <v/>
      </c>
      <c r="L54" s="524" t="e">
        <f t="shared" si="3"/>
        <v>#VALUE!</v>
      </c>
      <c r="O54" s="153"/>
      <c r="S54" s="515" t="e">
        <f t="shared" si="53"/>
        <v>#VALUE!</v>
      </c>
      <c r="T54" s="515" t="e">
        <f>SUMIFS('[16]基本支出总表（开）'!M:M,'[16]基本支出总表（开）'!C:C,MID(TRIM(A54),2,7))</f>
        <v>#VALUE!</v>
      </c>
      <c r="U54" s="515" t="e">
        <f>SUMIFS('[16]项目支出总表（开）'!V:V,'[16]项目支出总表（开）'!C:C,MID(TRIM(A54),2,7))</f>
        <v>#VALUE!</v>
      </c>
    </row>
    <row r="55" s="1" customFormat="1" ht="21.75" customHeight="1" spans="1:21">
      <c r="A55" s="512" t="s">
        <v>100</v>
      </c>
      <c r="B55" s="513">
        <f t="shared" ref="B55:I55" si="54">SUM(B56:B59)</f>
        <v>248.630383</v>
      </c>
      <c r="C55" s="513">
        <f t="shared" si="54"/>
        <v>164.630383</v>
      </c>
      <c r="D55" s="513">
        <f t="shared" si="54"/>
        <v>148.972334</v>
      </c>
      <c r="E55" s="513">
        <f t="shared" si="54"/>
        <v>15.658049</v>
      </c>
      <c r="F55" s="513">
        <f t="shared" si="54"/>
        <v>84</v>
      </c>
      <c r="G55" s="513" t="e">
        <f t="shared" si="54"/>
        <v>#VALUE!</v>
      </c>
      <c r="H55" s="513" t="e">
        <f t="shared" si="54"/>
        <v>#VALUE!</v>
      </c>
      <c r="I55" s="513" t="e">
        <f t="shared" si="54"/>
        <v>#VALUE!</v>
      </c>
      <c r="J55" s="523" t="e">
        <f t="shared" si="1"/>
        <v>#VALUE!</v>
      </c>
      <c r="K55" s="523" t="e">
        <f t="shared" si="2"/>
        <v>#VALUE!</v>
      </c>
      <c r="L55" s="523" t="e">
        <f t="shared" si="3"/>
        <v>#VALUE!</v>
      </c>
      <c r="O55" s="153"/>
      <c r="S55" s="513" t="e">
        <f t="shared" ref="S55:U55" si="55">SUM(S56:S59)</f>
        <v>#VALUE!</v>
      </c>
      <c r="T55" s="513" t="e">
        <f t="shared" si="55"/>
        <v>#VALUE!</v>
      </c>
      <c r="U55" s="513" t="e">
        <f t="shared" si="55"/>
        <v>#VALUE!</v>
      </c>
    </row>
    <row r="56" s="1" customFormat="1" ht="21.75" customHeight="1" spans="1:21">
      <c r="A56" s="514" t="s">
        <v>101</v>
      </c>
      <c r="B56" s="515">
        <v>164.630383</v>
      </c>
      <c r="C56" s="515">
        <v>164.630383</v>
      </c>
      <c r="D56" s="515">
        <v>148.972334</v>
      </c>
      <c r="E56" s="515">
        <v>15.658049</v>
      </c>
      <c r="F56" s="515"/>
      <c r="G56" s="515" t="e">
        <f t="shared" si="52"/>
        <v>#VALUE!</v>
      </c>
      <c r="H56" s="515" t="e">
        <f>SUMIFS('[16]基本支出总表（开）'!P:P,'[16]基本支出总表（开）'!C:C,MID(A56,4,7))</f>
        <v>#VALUE!</v>
      </c>
      <c r="I56" s="515" t="e">
        <f>SUMIFS('[16]项目支出总表（开）'!Y:Y,'[16]项目支出总表（开）'!C:C,MID(A56,4,7))+SUMIFS('[16]项目支出总表（开）'!Z:Z,'[16]项目支出总表（开）'!C:C,MID(A56,4,7))</f>
        <v>#VALUE!</v>
      </c>
      <c r="J56" s="524" t="e">
        <f t="shared" si="1"/>
        <v>#VALUE!</v>
      </c>
      <c r="K56" s="524" t="e">
        <f t="shared" si="2"/>
        <v>#VALUE!</v>
      </c>
      <c r="L56" s="524" t="str">
        <f t="shared" si="3"/>
        <v/>
      </c>
      <c r="O56" s="153"/>
      <c r="S56" s="515" t="e">
        <f t="shared" si="53"/>
        <v>#VALUE!</v>
      </c>
      <c r="T56" s="515" t="e">
        <f>SUMIFS('[16]基本支出总表（开）'!M:M,'[16]基本支出总表（开）'!C:C,MID(TRIM(A56),2,7))</f>
        <v>#VALUE!</v>
      </c>
      <c r="U56" s="515" t="e">
        <f>SUMIFS('[16]项目支出总表（开）'!V:V,'[16]项目支出总表（开）'!C:C,MID(TRIM(A56),2,7))</f>
        <v>#VALUE!</v>
      </c>
    </row>
    <row r="57" s="1" customFormat="1" ht="21.75" customHeight="1" spans="1:21">
      <c r="A57" s="514" t="s">
        <v>102</v>
      </c>
      <c r="B57" s="515">
        <v>40</v>
      </c>
      <c r="C57" s="515"/>
      <c r="D57" s="515"/>
      <c r="E57" s="515"/>
      <c r="F57" s="515">
        <v>40</v>
      </c>
      <c r="G57" s="515" t="e">
        <f t="shared" si="52"/>
        <v>#VALUE!</v>
      </c>
      <c r="H57" s="515" t="e">
        <f>SUMIFS('[16]基本支出总表（开）'!P:P,'[16]基本支出总表（开）'!C:C,MID(A57,4,7))</f>
        <v>#VALUE!</v>
      </c>
      <c r="I57" s="515" t="e">
        <f>SUMIFS('[16]项目支出总表（开）'!Y:Y,'[16]项目支出总表（开）'!C:C,MID(A57,4,7))+SUMIFS('[16]项目支出总表（开）'!Z:Z,'[16]项目支出总表（开）'!C:C,MID(A57,4,7))</f>
        <v>#VALUE!</v>
      </c>
      <c r="J57" s="524" t="e">
        <f t="shared" si="1"/>
        <v>#VALUE!</v>
      </c>
      <c r="K57" s="524" t="str">
        <f t="shared" si="2"/>
        <v/>
      </c>
      <c r="L57" s="524" t="e">
        <f t="shared" si="3"/>
        <v>#VALUE!</v>
      </c>
      <c r="O57" s="153"/>
      <c r="S57" s="515" t="e">
        <f t="shared" si="53"/>
        <v>#VALUE!</v>
      </c>
      <c r="T57" s="515" t="e">
        <f>SUMIFS('[16]基本支出总表（开）'!M:M,'[16]基本支出总表（开）'!C:C,MID(TRIM(A57),2,7))</f>
        <v>#VALUE!</v>
      </c>
      <c r="U57" s="515" t="e">
        <f>SUMIFS('[16]项目支出总表（开）'!V:V,'[16]项目支出总表（开）'!C:C,MID(TRIM(A57),2,7))</f>
        <v>#VALUE!</v>
      </c>
    </row>
    <row r="58" s="1" customFormat="1" ht="21.75" customHeight="1" spans="1:21">
      <c r="A58" s="514" t="s">
        <v>103</v>
      </c>
      <c r="B58" s="515">
        <v>24</v>
      </c>
      <c r="C58" s="515"/>
      <c r="D58" s="515"/>
      <c r="E58" s="515"/>
      <c r="F58" s="515">
        <v>24</v>
      </c>
      <c r="G58" s="515" t="e">
        <f t="shared" si="52"/>
        <v>#VALUE!</v>
      </c>
      <c r="H58" s="515" t="e">
        <f>SUMIFS('[16]基本支出总表（开）'!P:P,'[16]基本支出总表（开）'!C:C,MID(A58,4,7))</f>
        <v>#VALUE!</v>
      </c>
      <c r="I58" s="515" t="e">
        <f>SUMIFS('[16]项目支出总表（开）'!Y:Y,'[16]项目支出总表（开）'!C:C,MID(A58,4,7))+SUMIFS('[16]项目支出总表（开）'!Z:Z,'[16]项目支出总表（开）'!C:C,MID(A58,4,7))</f>
        <v>#VALUE!</v>
      </c>
      <c r="J58" s="524" t="e">
        <f t="shared" si="1"/>
        <v>#VALUE!</v>
      </c>
      <c r="K58" s="524" t="str">
        <f t="shared" si="2"/>
        <v/>
      </c>
      <c r="L58" s="524" t="e">
        <f t="shared" si="3"/>
        <v>#VALUE!</v>
      </c>
      <c r="O58" s="153"/>
      <c r="S58" s="515" t="e">
        <f t="shared" si="53"/>
        <v>#VALUE!</v>
      </c>
      <c r="T58" s="515" t="e">
        <f>SUMIFS('[16]基本支出总表（开）'!M:M,'[16]基本支出总表（开）'!C:C,MID(TRIM(A58),2,7))</f>
        <v>#VALUE!</v>
      </c>
      <c r="U58" s="515" t="e">
        <f>SUMIFS('[16]项目支出总表（开）'!V:V,'[16]项目支出总表（开）'!C:C,MID(TRIM(A58),2,7))</f>
        <v>#VALUE!</v>
      </c>
    </row>
    <row r="59" s="1" customFormat="1" ht="21.75" customHeight="1" spans="1:21">
      <c r="A59" s="514" t="s">
        <v>104</v>
      </c>
      <c r="B59" s="515">
        <v>20</v>
      </c>
      <c r="C59" s="515"/>
      <c r="D59" s="515"/>
      <c r="E59" s="515"/>
      <c r="F59" s="515">
        <v>20</v>
      </c>
      <c r="G59" s="515" t="e">
        <f t="shared" si="52"/>
        <v>#VALUE!</v>
      </c>
      <c r="H59" s="515" t="e">
        <f>SUMIFS('[16]基本支出总表（开）'!P:P,'[16]基本支出总表（开）'!C:C,MID(A59,4,7))</f>
        <v>#VALUE!</v>
      </c>
      <c r="I59" s="515" t="e">
        <f>SUMIFS('[16]项目支出总表（开）'!Y:Y,'[16]项目支出总表（开）'!C:C,MID(A59,4,7))+SUMIFS('[16]项目支出总表（开）'!Z:Z,'[16]项目支出总表（开）'!C:C,MID(A59,4,7))</f>
        <v>#VALUE!</v>
      </c>
      <c r="J59" s="524" t="e">
        <f t="shared" si="1"/>
        <v>#VALUE!</v>
      </c>
      <c r="K59" s="524" t="str">
        <f t="shared" si="2"/>
        <v/>
      </c>
      <c r="L59" s="524" t="e">
        <f t="shared" si="3"/>
        <v>#VALUE!</v>
      </c>
      <c r="O59" s="153"/>
      <c r="S59" s="515" t="e">
        <f t="shared" si="53"/>
        <v>#VALUE!</v>
      </c>
      <c r="T59" s="515" t="e">
        <f>SUMIFS('[16]基本支出总表（开）'!M:M,'[16]基本支出总表（开）'!C:C,MID(TRIM(A59),2,7))</f>
        <v>#VALUE!</v>
      </c>
      <c r="U59" s="515" t="e">
        <f>SUMIFS('[16]项目支出总表（开）'!V:V,'[16]项目支出总表（开）'!C:C,MID(TRIM(A59),2,7))</f>
        <v>#VALUE!</v>
      </c>
    </row>
    <row r="60" s="1" customFormat="1" ht="21.75" customHeight="1" spans="1:21">
      <c r="A60" s="512" t="s">
        <v>105</v>
      </c>
      <c r="B60" s="513">
        <f t="shared" ref="B60:I60" si="56">SUM(B61:B63)</f>
        <v>1866.46674</v>
      </c>
      <c r="C60" s="513">
        <f t="shared" si="56"/>
        <v>499.43674</v>
      </c>
      <c r="D60" s="513">
        <f t="shared" si="56"/>
        <v>459.64555</v>
      </c>
      <c r="E60" s="513">
        <f t="shared" si="56"/>
        <v>39.79119</v>
      </c>
      <c r="F60" s="513">
        <f t="shared" si="56"/>
        <v>1367.03</v>
      </c>
      <c r="G60" s="513" t="e">
        <f t="shared" si="56"/>
        <v>#VALUE!</v>
      </c>
      <c r="H60" s="513" t="e">
        <f t="shared" si="56"/>
        <v>#VALUE!</v>
      </c>
      <c r="I60" s="513" t="e">
        <f t="shared" si="56"/>
        <v>#VALUE!</v>
      </c>
      <c r="J60" s="523" t="e">
        <f t="shared" si="1"/>
        <v>#VALUE!</v>
      </c>
      <c r="K60" s="523" t="e">
        <f t="shared" si="2"/>
        <v>#VALUE!</v>
      </c>
      <c r="L60" s="523" t="e">
        <f t="shared" si="3"/>
        <v>#VALUE!</v>
      </c>
      <c r="O60" s="153"/>
      <c r="S60" s="513" t="e">
        <f t="shared" ref="S60:U60" si="57">SUM(S61:S63)</f>
        <v>#VALUE!</v>
      </c>
      <c r="T60" s="513" t="e">
        <f t="shared" si="57"/>
        <v>#VALUE!</v>
      </c>
      <c r="U60" s="513" t="e">
        <f t="shared" si="57"/>
        <v>#VALUE!</v>
      </c>
    </row>
    <row r="61" s="1" customFormat="1" ht="21.75" customHeight="1" spans="1:21">
      <c r="A61" s="514" t="s">
        <v>106</v>
      </c>
      <c r="B61" s="515">
        <v>499.43674</v>
      </c>
      <c r="C61" s="515">
        <v>499.43674</v>
      </c>
      <c r="D61" s="515">
        <v>459.64555</v>
      </c>
      <c r="E61" s="515">
        <v>39.79119</v>
      </c>
      <c r="F61" s="515"/>
      <c r="G61" s="515" t="e">
        <f t="shared" ref="G61:G63" si="58">SUM(H61:I61)</f>
        <v>#VALUE!</v>
      </c>
      <c r="H61" s="515" t="e">
        <f>SUMIFS('[16]基本支出总表（开）'!P:P,'[16]基本支出总表（开）'!C:C,MID(A61,4,7))</f>
        <v>#VALUE!</v>
      </c>
      <c r="I61" s="515" t="e">
        <f>SUMIFS('[16]项目支出总表（开）'!Y:Y,'[16]项目支出总表（开）'!C:C,MID(A61,4,7))+SUMIFS('[16]项目支出总表（开）'!Z:Z,'[16]项目支出总表（开）'!C:C,MID(A61,4,7))</f>
        <v>#VALUE!</v>
      </c>
      <c r="J61" s="524" t="e">
        <f t="shared" si="1"/>
        <v>#VALUE!</v>
      </c>
      <c r="K61" s="524" t="e">
        <f t="shared" si="2"/>
        <v>#VALUE!</v>
      </c>
      <c r="L61" s="524" t="str">
        <f t="shared" si="3"/>
        <v/>
      </c>
      <c r="O61" s="153"/>
      <c r="S61" s="515" t="e">
        <f t="shared" ref="S61:S63" si="59">SUM(T61:U61)</f>
        <v>#VALUE!</v>
      </c>
      <c r="T61" s="515" t="e">
        <f>SUMIFS('[16]基本支出总表（开）'!M:M,'[16]基本支出总表（开）'!C:C,MID(TRIM(A61),2,7))</f>
        <v>#VALUE!</v>
      </c>
      <c r="U61" s="515" t="e">
        <f>SUMIFS('[16]项目支出总表（开）'!V:V,'[16]项目支出总表（开）'!C:C,MID(TRIM(A61),2,7))</f>
        <v>#VALUE!</v>
      </c>
    </row>
    <row r="62" s="1" customFormat="1" ht="21.75" customHeight="1" spans="1:21">
      <c r="A62" s="516" t="s">
        <v>107</v>
      </c>
      <c r="B62" s="515">
        <v>900</v>
      </c>
      <c r="C62" s="515"/>
      <c r="D62" s="515"/>
      <c r="E62" s="515"/>
      <c r="F62" s="515">
        <v>900</v>
      </c>
      <c r="G62" s="515" t="e">
        <f t="shared" si="58"/>
        <v>#VALUE!</v>
      </c>
      <c r="H62" s="515" t="e">
        <f>SUMIFS('[16]基本支出总表（开）'!P:P,'[16]基本支出总表（开）'!C:C,MID(A62,4,7))</f>
        <v>#VALUE!</v>
      </c>
      <c r="I62" s="515" t="e">
        <f>SUMIFS('[16]项目支出总表（开）'!Y:Y,'[16]项目支出总表（开）'!C:C,MID(A62,4,7))+SUMIFS('[16]项目支出总表（开）'!Z:Z,'[16]项目支出总表（开）'!C:C,MID(A62,4,7))</f>
        <v>#VALUE!</v>
      </c>
      <c r="J62" s="524" t="e">
        <f t="shared" si="1"/>
        <v>#VALUE!</v>
      </c>
      <c r="K62" s="524" t="str">
        <f t="shared" si="2"/>
        <v/>
      </c>
      <c r="L62" s="524" t="e">
        <f t="shared" si="3"/>
        <v>#VALUE!</v>
      </c>
      <c r="O62" s="153"/>
      <c r="S62" s="515" t="e">
        <f t="shared" si="59"/>
        <v>#VALUE!</v>
      </c>
      <c r="T62" s="515" t="e">
        <f>SUMIFS('[16]基本支出总表（开）'!M:M,'[16]基本支出总表（开）'!C:C,MID(TRIM(A62),2,7))</f>
        <v>#VALUE!</v>
      </c>
      <c r="U62" s="515" t="e">
        <f>SUMIFS('[16]项目支出总表（开）'!V:V,'[16]项目支出总表（开）'!C:C,MID(TRIM(A62),2,7))</f>
        <v>#VALUE!</v>
      </c>
    </row>
    <row r="63" s="1" customFormat="1" ht="21.75" customHeight="1" spans="1:21">
      <c r="A63" s="514" t="s">
        <v>108</v>
      </c>
      <c r="B63" s="515">
        <v>467.03</v>
      </c>
      <c r="C63" s="515"/>
      <c r="D63" s="515"/>
      <c r="E63" s="515"/>
      <c r="F63" s="515">
        <v>467.03</v>
      </c>
      <c r="G63" s="515" t="e">
        <f t="shared" si="58"/>
        <v>#VALUE!</v>
      </c>
      <c r="H63" s="515" t="e">
        <f>SUMIFS('[16]基本支出总表（开）'!P:P,'[16]基本支出总表（开）'!C:C,MID(A63,4,7))</f>
        <v>#VALUE!</v>
      </c>
      <c r="I63" s="515" t="e">
        <f>SUMIFS('[16]项目支出总表（开）'!Y:Y,'[16]项目支出总表（开）'!C:C,MID(A63,4,7))+SUMIFS('[16]项目支出总表（开）'!Z:Z,'[16]项目支出总表（开）'!C:C,MID(A63,4,7))</f>
        <v>#VALUE!</v>
      </c>
      <c r="J63" s="524" t="e">
        <f t="shared" si="1"/>
        <v>#VALUE!</v>
      </c>
      <c r="K63" s="524" t="str">
        <f t="shared" si="2"/>
        <v/>
      </c>
      <c r="L63" s="524" t="e">
        <f t="shared" si="3"/>
        <v>#VALUE!</v>
      </c>
      <c r="O63" s="153"/>
      <c r="S63" s="515" t="e">
        <f t="shared" si="59"/>
        <v>#VALUE!</v>
      </c>
      <c r="T63" s="515" t="e">
        <f>SUMIFS('[16]基本支出总表（开）'!M:M,'[16]基本支出总表（开）'!C:C,MID(TRIM(A63),2,7))</f>
        <v>#VALUE!</v>
      </c>
      <c r="U63" s="515" t="e">
        <f>SUMIFS('[16]项目支出总表（开）'!V:V,'[16]项目支出总表（开）'!C:C,MID(TRIM(A63),2,7))</f>
        <v>#VALUE!</v>
      </c>
    </row>
    <row r="64" s="1" customFormat="1" ht="21.75" customHeight="1" spans="1:21">
      <c r="A64" s="512" t="s">
        <v>109</v>
      </c>
      <c r="B64" s="513">
        <f t="shared" ref="B64:I64" si="60">SUM(B65:B66)</f>
        <v>454.037737</v>
      </c>
      <c r="C64" s="513">
        <f t="shared" si="60"/>
        <v>212.237737</v>
      </c>
      <c r="D64" s="513">
        <f t="shared" si="60"/>
        <v>190.101325</v>
      </c>
      <c r="E64" s="513">
        <f t="shared" si="60"/>
        <v>22.136412</v>
      </c>
      <c r="F64" s="513">
        <f t="shared" si="60"/>
        <v>241.8</v>
      </c>
      <c r="G64" s="513" t="e">
        <f t="shared" si="60"/>
        <v>#VALUE!</v>
      </c>
      <c r="H64" s="513" t="e">
        <f t="shared" si="60"/>
        <v>#VALUE!</v>
      </c>
      <c r="I64" s="513" t="e">
        <f t="shared" si="60"/>
        <v>#VALUE!</v>
      </c>
      <c r="J64" s="523" t="e">
        <f t="shared" si="1"/>
        <v>#VALUE!</v>
      </c>
      <c r="K64" s="523" t="e">
        <f t="shared" si="2"/>
        <v>#VALUE!</v>
      </c>
      <c r="L64" s="523" t="e">
        <f t="shared" si="3"/>
        <v>#VALUE!</v>
      </c>
      <c r="O64" s="153"/>
      <c r="S64" s="513" t="e">
        <f t="shared" ref="S64:U64" si="61">SUM(S65:S66)</f>
        <v>#VALUE!</v>
      </c>
      <c r="T64" s="513" t="e">
        <f t="shared" si="61"/>
        <v>#VALUE!</v>
      </c>
      <c r="U64" s="513" t="e">
        <f t="shared" si="61"/>
        <v>#VALUE!</v>
      </c>
    </row>
    <row r="65" s="1" customFormat="1" ht="21.75" customHeight="1" spans="1:21">
      <c r="A65" s="514" t="s">
        <v>110</v>
      </c>
      <c r="B65" s="515">
        <v>212.237737</v>
      </c>
      <c r="C65" s="515">
        <v>212.237737</v>
      </c>
      <c r="D65" s="515">
        <v>190.101325</v>
      </c>
      <c r="E65" s="515">
        <v>22.136412</v>
      </c>
      <c r="F65" s="515"/>
      <c r="G65" s="515" t="e">
        <f t="shared" ref="G65:G72" si="62">SUM(H65:I65)</f>
        <v>#VALUE!</v>
      </c>
      <c r="H65" s="515" t="e">
        <f>SUMIFS('[16]基本支出总表（开）'!P:P,'[16]基本支出总表（开）'!C:C,MID(A65,4,7))</f>
        <v>#VALUE!</v>
      </c>
      <c r="I65" s="515" t="e">
        <f>SUMIFS('[16]项目支出总表（开）'!Y:Y,'[16]项目支出总表（开）'!C:C,MID(A65,4,7))+SUMIFS('[16]项目支出总表（开）'!Z:Z,'[16]项目支出总表（开）'!C:C,MID(A65,4,7))</f>
        <v>#VALUE!</v>
      </c>
      <c r="J65" s="524" t="e">
        <f t="shared" si="1"/>
        <v>#VALUE!</v>
      </c>
      <c r="K65" s="524" t="e">
        <f t="shared" si="2"/>
        <v>#VALUE!</v>
      </c>
      <c r="L65" s="524" t="str">
        <f t="shared" si="3"/>
        <v/>
      </c>
      <c r="O65" s="153"/>
      <c r="S65" s="515" t="e">
        <f t="shared" ref="S65:S72" si="63">SUM(T65:U65)</f>
        <v>#VALUE!</v>
      </c>
      <c r="T65" s="515" t="e">
        <f>SUMIFS('[16]基本支出总表（开）'!M:M,'[16]基本支出总表（开）'!C:C,MID(TRIM(A65),2,7))</f>
        <v>#VALUE!</v>
      </c>
      <c r="U65" s="515" t="e">
        <f>SUMIFS('[16]项目支出总表（开）'!V:V,'[16]项目支出总表（开）'!C:C,MID(TRIM(A65),2,7))</f>
        <v>#VALUE!</v>
      </c>
    </row>
    <row r="66" s="1" customFormat="1" ht="21.75" customHeight="1" spans="1:21">
      <c r="A66" s="514" t="s">
        <v>111</v>
      </c>
      <c r="B66" s="515">
        <v>241.8</v>
      </c>
      <c r="C66" s="515"/>
      <c r="D66" s="515"/>
      <c r="E66" s="515"/>
      <c r="F66" s="515">
        <v>241.8</v>
      </c>
      <c r="G66" s="515" t="e">
        <f t="shared" si="62"/>
        <v>#VALUE!</v>
      </c>
      <c r="H66" s="515" t="e">
        <f>SUMIFS('[16]基本支出总表（开）'!P:P,'[16]基本支出总表（开）'!C:C,MID(A66,4,7))</f>
        <v>#VALUE!</v>
      </c>
      <c r="I66" s="515" t="e">
        <f>SUMIFS('[16]项目支出总表（开）'!Y:Y,'[16]项目支出总表（开）'!C:C,MID(A66,4,7))+SUMIFS('[16]项目支出总表（开）'!Z:Z,'[16]项目支出总表（开）'!C:C,MID(A66,4,7))</f>
        <v>#VALUE!</v>
      </c>
      <c r="J66" s="524" t="e">
        <f t="shared" si="1"/>
        <v>#VALUE!</v>
      </c>
      <c r="K66" s="524" t="str">
        <f t="shared" si="2"/>
        <v/>
      </c>
      <c r="L66" s="524" t="e">
        <f t="shared" si="3"/>
        <v>#VALUE!</v>
      </c>
      <c r="O66" s="153"/>
      <c r="S66" s="515" t="e">
        <f t="shared" si="63"/>
        <v>#VALUE!</v>
      </c>
      <c r="T66" s="515" t="e">
        <f>SUMIFS('[16]基本支出总表（开）'!M:M,'[16]基本支出总表（开）'!C:C,MID(TRIM(A66),2,7))</f>
        <v>#VALUE!</v>
      </c>
      <c r="U66" s="515" t="e">
        <f>SUMIFS('[16]项目支出总表（开）'!V:V,'[16]项目支出总表（开）'!C:C,MID(TRIM(A66),2,7))</f>
        <v>#VALUE!</v>
      </c>
    </row>
    <row r="67" s="1" customFormat="1" ht="21.75" customHeight="1" spans="1:21">
      <c r="A67" s="512" t="s">
        <v>112</v>
      </c>
      <c r="B67" s="513">
        <f t="shared" ref="B67:I67" si="64">SUM(B68:B72)</f>
        <v>948.282356</v>
      </c>
      <c r="C67" s="513">
        <f t="shared" si="64"/>
        <v>870.892356</v>
      </c>
      <c r="D67" s="513">
        <f t="shared" si="64"/>
        <v>751.802591</v>
      </c>
      <c r="E67" s="513">
        <f t="shared" si="64"/>
        <v>119.089765</v>
      </c>
      <c r="F67" s="513">
        <f t="shared" si="64"/>
        <v>77.39</v>
      </c>
      <c r="G67" s="513" t="e">
        <f t="shared" si="64"/>
        <v>#VALUE!</v>
      </c>
      <c r="H67" s="513" t="e">
        <f t="shared" si="64"/>
        <v>#VALUE!</v>
      </c>
      <c r="I67" s="513" t="e">
        <f t="shared" si="64"/>
        <v>#VALUE!</v>
      </c>
      <c r="J67" s="523" t="e">
        <f t="shared" si="1"/>
        <v>#VALUE!</v>
      </c>
      <c r="K67" s="523" t="e">
        <f t="shared" si="2"/>
        <v>#VALUE!</v>
      </c>
      <c r="L67" s="523" t="e">
        <f t="shared" si="3"/>
        <v>#VALUE!</v>
      </c>
      <c r="O67" s="153"/>
      <c r="S67" s="513" t="e">
        <f t="shared" ref="S67:U67" si="65">SUM(S68:S72)</f>
        <v>#VALUE!</v>
      </c>
      <c r="T67" s="513" t="e">
        <f t="shared" si="65"/>
        <v>#VALUE!</v>
      </c>
      <c r="U67" s="513" t="e">
        <f t="shared" si="65"/>
        <v>#VALUE!</v>
      </c>
    </row>
    <row r="68" s="1" customFormat="1" ht="21.75" customHeight="1" spans="1:21">
      <c r="A68" s="514" t="s">
        <v>113</v>
      </c>
      <c r="B68" s="515">
        <v>870.892356</v>
      </c>
      <c r="C68" s="515">
        <v>870.892356</v>
      </c>
      <c r="D68" s="515">
        <v>751.802591</v>
      </c>
      <c r="E68" s="515">
        <v>119.089765</v>
      </c>
      <c r="F68" s="515"/>
      <c r="G68" s="515" t="e">
        <f t="shared" si="62"/>
        <v>#VALUE!</v>
      </c>
      <c r="H68" s="515" t="e">
        <f>SUMIFS('[16]基本支出总表（开）'!P:P,'[16]基本支出总表（开）'!C:C,MID(A68,4,7))</f>
        <v>#VALUE!</v>
      </c>
      <c r="I68" s="515" t="e">
        <f>SUMIFS('[16]项目支出总表（开）'!Y:Y,'[16]项目支出总表（开）'!C:C,MID(A68,4,7))+SUMIFS('[16]项目支出总表（开）'!Z:Z,'[16]项目支出总表（开）'!C:C,MID(A68,4,7))</f>
        <v>#VALUE!</v>
      </c>
      <c r="J68" s="524" t="e">
        <f t="shared" si="1"/>
        <v>#VALUE!</v>
      </c>
      <c r="K68" s="524" t="e">
        <f t="shared" si="2"/>
        <v>#VALUE!</v>
      </c>
      <c r="L68" s="524" t="str">
        <f t="shared" si="3"/>
        <v/>
      </c>
      <c r="O68" s="153"/>
      <c r="S68" s="515" t="e">
        <f t="shared" si="63"/>
        <v>#VALUE!</v>
      </c>
      <c r="T68" s="515" t="e">
        <f>SUMIFS('[16]基本支出总表（开）'!M:M,'[16]基本支出总表（开）'!C:C,MID(TRIM(A68),2,7))</f>
        <v>#VALUE!</v>
      </c>
      <c r="U68" s="515" t="e">
        <f>SUMIFS('[16]项目支出总表（开）'!V:V,'[16]项目支出总表（开）'!C:C,MID(TRIM(A68),2,7))</f>
        <v>#VALUE!</v>
      </c>
    </row>
    <row r="69" s="1" customFormat="1" ht="21.75" customHeight="1" spans="1:21">
      <c r="A69" s="514" t="s">
        <v>114</v>
      </c>
      <c r="B69" s="515">
        <v>62.39</v>
      </c>
      <c r="C69" s="515"/>
      <c r="D69" s="515"/>
      <c r="E69" s="515"/>
      <c r="F69" s="515">
        <v>62.39</v>
      </c>
      <c r="G69" s="515" t="e">
        <f t="shared" si="62"/>
        <v>#VALUE!</v>
      </c>
      <c r="H69" s="515" t="e">
        <f>SUMIFS('[16]基本支出总表（开）'!P:P,'[16]基本支出总表（开）'!C:C,MID(A69,4,7))</f>
        <v>#VALUE!</v>
      </c>
      <c r="I69" s="515" t="e">
        <f>SUMIFS('[16]项目支出总表（开）'!Y:Y,'[16]项目支出总表（开）'!C:C,MID(A69,4,7))+SUMIFS('[16]项目支出总表（开）'!Z:Z,'[16]项目支出总表（开）'!C:C,MID(A69,4,7))</f>
        <v>#VALUE!</v>
      </c>
      <c r="J69" s="524" t="e">
        <f t="shared" si="1"/>
        <v>#VALUE!</v>
      </c>
      <c r="K69" s="524" t="str">
        <f t="shared" si="2"/>
        <v/>
      </c>
      <c r="L69" s="524" t="e">
        <f t="shared" si="3"/>
        <v>#VALUE!</v>
      </c>
      <c r="O69" s="153"/>
      <c r="S69" s="515" t="e">
        <f t="shared" si="63"/>
        <v>#VALUE!</v>
      </c>
      <c r="T69" s="515" t="e">
        <f>SUMIFS('[16]基本支出总表（开）'!M:M,'[16]基本支出总表（开）'!C:C,MID(TRIM(A69),2,7))</f>
        <v>#VALUE!</v>
      </c>
      <c r="U69" s="515" t="e">
        <f>SUMIFS('[16]项目支出总表（开）'!V:V,'[16]项目支出总表（开）'!C:C,MID(TRIM(A69),2,7))</f>
        <v>#VALUE!</v>
      </c>
    </row>
    <row r="70" s="1" customFormat="1" ht="21.75" customHeight="1" spans="1:21">
      <c r="A70" s="516" t="s">
        <v>115</v>
      </c>
      <c r="B70" s="515"/>
      <c r="C70" s="515"/>
      <c r="D70" s="515"/>
      <c r="E70" s="515"/>
      <c r="F70" s="515"/>
      <c r="G70" s="515" t="e">
        <f t="shared" si="62"/>
        <v>#VALUE!</v>
      </c>
      <c r="H70" s="515" t="e">
        <f>SUMIFS('[16]基本支出总表（开）'!P:P,'[16]基本支出总表（开）'!C:C,MID(A70,4,7))</f>
        <v>#VALUE!</v>
      </c>
      <c r="I70" s="515" t="e">
        <f>SUMIFS('[16]项目支出总表（开）'!Y:Y,'[16]项目支出总表（开）'!C:C,MID(A70,4,7))+SUMIFS('[16]项目支出总表（开）'!Z:Z,'[16]项目支出总表（开）'!C:C,MID(A70,4,7))</f>
        <v>#VALUE!</v>
      </c>
      <c r="J70" s="524" t="str">
        <f t="shared" ref="J70:J133" si="66">IF(B70=0,"",G70/B70)</f>
        <v/>
      </c>
      <c r="K70" s="524" t="str">
        <f t="shared" ref="K70:K133" si="67">IF(C70=0,"",H70/C70)</f>
        <v/>
      </c>
      <c r="L70" s="524" t="str">
        <f t="shared" ref="L70:L133" si="68">IF(F70=0,"",I70/F70)</f>
        <v/>
      </c>
      <c r="O70" s="153"/>
      <c r="S70" s="515" t="e">
        <f t="shared" si="63"/>
        <v>#VALUE!</v>
      </c>
      <c r="T70" s="515" t="e">
        <f>SUMIFS('[16]基本支出总表（开）'!M:M,'[16]基本支出总表（开）'!C:C,MID(TRIM(A70),2,7))</f>
        <v>#VALUE!</v>
      </c>
      <c r="U70" s="515" t="e">
        <f>SUMIFS('[16]项目支出总表（开）'!V:V,'[16]项目支出总表（开）'!C:C,MID(TRIM(A70),2,7))</f>
        <v>#VALUE!</v>
      </c>
    </row>
    <row r="71" s="1" customFormat="1" ht="21.75" customHeight="1" spans="1:21">
      <c r="A71" s="514" t="s">
        <v>116</v>
      </c>
      <c r="B71" s="515">
        <v>15</v>
      </c>
      <c r="C71" s="515"/>
      <c r="D71" s="515"/>
      <c r="E71" s="515"/>
      <c r="F71" s="515">
        <v>15</v>
      </c>
      <c r="G71" s="515" t="e">
        <f t="shared" si="62"/>
        <v>#VALUE!</v>
      </c>
      <c r="H71" s="515" t="e">
        <f>SUMIFS('[16]基本支出总表（开）'!P:P,'[16]基本支出总表（开）'!C:C,MID(A71,4,7))</f>
        <v>#VALUE!</v>
      </c>
      <c r="I71" s="515" t="e">
        <f>SUMIFS('[16]项目支出总表（开）'!Y:Y,'[16]项目支出总表（开）'!C:C,MID(A71,4,7))+SUMIFS('[16]项目支出总表（开）'!Z:Z,'[16]项目支出总表（开）'!C:C,MID(A71,4,7))</f>
        <v>#VALUE!</v>
      </c>
      <c r="J71" s="524" t="e">
        <f t="shared" si="66"/>
        <v>#VALUE!</v>
      </c>
      <c r="K71" s="524" t="str">
        <f t="shared" si="67"/>
        <v/>
      </c>
      <c r="L71" s="524" t="e">
        <f t="shared" si="68"/>
        <v>#VALUE!</v>
      </c>
      <c r="O71" s="153"/>
      <c r="S71" s="515" t="e">
        <f t="shared" si="63"/>
        <v>#VALUE!</v>
      </c>
      <c r="T71" s="515" t="e">
        <f>SUMIFS('[16]基本支出总表（开）'!M:M,'[16]基本支出总表（开）'!C:C,MID(TRIM(A71),2,7))</f>
        <v>#VALUE!</v>
      </c>
      <c r="U71" s="515" t="e">
        <f>SUMIFS('[16]项目支出总表（开）'!V:V,'[16]项目支出总表（开）'!C:C,MID(TRIM(A71),2,7))</f>
        <v>#VALUE!</v>
      </c>
    </row>
    <row r="72" s="1" customFormat="1" ht="21.75" customHeight="1" spans="1:21">
      <c r="A72" s="516" t="s">
        <v>117</v>
      </c>
      <c r="B72" s="515"/>
      <c r="C72" s="515"/>
      <c r="D72" s="515"/>
      <c r="E72" s="515"/>
      <c r="F72" s="515"/>
      <c r="G72" s="515" t="e">
        <f t="shared" si="62"/>
        <v>#VALUE!</v>
      </c>
      <c r="H72" s="515" t="e">
        <f>SUMIFS('[16]基本支出总表（开）'!P:P,'[16]基本支出总表（开）'!C:C,MID(A72,4,7))</f>
        <v>#VALUE!</v>
      </c>
      <c r="I72" s="515" t="e">
        <f>SUMIFS('[16]项目支出总表（开）'!Y:Y,'[16]项目支出总表（开）'!C:C,MID(A72,4,7))+SUMIFS('[16]项目支出总表（开）'!Z:Z,'[16]项目支出总表（开）'!C:C,MID(A72,4,7))</f>
        <v>#VALUE!</v>
      </c>
      <c r="J72" s="524" t="str">
        <f t="shared" si="66"/>
        <v/>
      </c>
      <c r="K72" s="524" t="str">
        <f t="shared" si="67"/>
        <v/>
      </c>
      <c r="L72" s="524" t="str">
        <f t="shared" si="68"/>
        <v/>
      </c>
      <c r="O72" s="153"/>
      <c r="S72" s="515" t="e">
        <f t="shared" si="63"/>
        <v>#VALUE!</v>
      </c>
      <c r="T72" s="515" t="e">
        <f>SUMIFS('[16]基本支出总表（开）'!M:M,'[16]基本支出总表（开）'!C:C,MID(TRIM(A72),2,7))</f>
        <v>#VALUE!</v>
      </c>
      <c r="U72" s="515" t="e">
        <f>SUMIFS('[16]项目支出总表（开）'!V:V,'[16]项目支出总表（开）'!C:C,MID(TRIM(A72),2,7))</f>
        <v>#VALUE!</v>
      </c>
    </row>
    <row r="73" s="1" customFormat="1" ht="21.75" customHeight="1" spans="1:21">
      <c r="A73" s="518" t="s">
        <v>118</v>
      </c>
      <c r="B73" s="511">
        <f t="shared" ref="B73:I73" si="69">B74</f>
        <v>0</v>
      </c>
      <c r="C73" s="511">
        <f t="shared" si="69"/>
        <v>0</v>
      </c>
      <c r="D73" s="511">
        <f t="shared" si="69"/>
        <v>0</v>
      </c>
      <c r="E73" s="511">
        <f t="shared" si="69"/>
        <v>0</v>
      </c>
      <c r="F73" s="511">
        <f t="shared" si="69"/>
        <v>0</v>
      </c>
      <c r="G73" s="511" t="e">
        <f t="shared" si="69"/>
        <v>#VALUE!</v>
      </c>
      <c r="H73" s="511" t="e">
        <f t="shared" si="69"/>
        <v>#VALUE!</v>
      </c>
      <c r="I73" s="511" t="e">
        <f t="shared" si="69"/>
        <v>#VALUE!</v>
      </c>
      <c r="J73" s="522" t="str">
        <f t="shared" si="66"/>
        <v/>
      </c>
      <c r="K73" s="522" t="str">
        <f t="shared" si="67"/>
        <v/>
      </c>
      <c r="L73" s="522" t="str">
        <f t="shared" si="68"/>
        <v/>
      </c>
      <c r="N73" s="530"/>
      <c r="O73" s="531"/>
      <c r="P73" s="531"/>
      <c r="Q73" s="531"/>
      <c r="S73" s="511" t="e">
        <f t="shared" ref="S73:U73" si="70">S74</f>
        <v>#VALUE!</v>
      </c>
      <c r="T73" s="511" t="e">
        <f t="shared" si="70"/>
        <v>#VALUE!</v>
      </c>
      <c r="U73" s="511" t="e">
        <f t="shared" si="70"/>
        <v>#VALUE!</v>
      </c>
    </row>
    <row r="74" s="1" customFormat="1" ht="21.75" customHeight="1" spans="1:21">
      <c r="A74" s="517" t="s">
        <v>119</v>
      </c>
      <c r="B74" s="513">
        <f t="shared" ref="B74:I74" si="71">SUM(B75)</f>
        <v>0</v>
      </c>
      <c r="C74" s="513">
        <f t="shared" si="71"/>
        <v>0</v>
      </c>
      <c r="D74" s="513">
        <f t="shared" si="71"/>
        <v>0</v>
      </c>
      <c r="E74" s="513">
        <f t="shared" si="71"/>
        <v>0</v>
      </c>
      <c r="F74" s="513">
        <f t="shared" si="71"/>
        <v>0</v>
      </c>
      <c r="G74" s="513" t="e">
        <f t="shared" si="71"/>
        <v>#VALUE!</v>
      </c>
      <c r="H74" s="513" t="e">
        <f t="shared" si="71"/>
        <v>#VALUE!</v>
      </c>
      <c r="I74" s="513" t="e">
        <f t="shared" si="71"/>
        <v>#VALUE!</v>
      </c>
      <c r="J74" s="523" t="str">
        <f t="shared" si="66"/>
        <v/>
      </c>
      <c r="K74" s="523" t="str">
        <f t="shared" si="67"/>
        <v/>
      </c>
      <c r="L74" s="523" t="str">
        <f t="shared" si="68"/>
        <v/>
      </c>
      <c r="N74" s="530"/>
      <c r="O74" s="531"/>
      <c r="P74" s="531"/>
      <c r="Q74" s="531"/>
      <c r="S74" s="513" t="e">
        <f t="shared" ref="S74:U74" si="72">SUM(S75)</f>
        <v>#VALUE!</v>
      </c>
      <c r="T74" s="513" t="e">
        <f t="shared" si="72"/>
        <v>#VALUE!</v>
      </c>
      <c r="U74" s="513" t="e">
        <f t="shared" si="72"/>
        <v>#VALUE!</v>
      </c>
    </row>
    <row r="75" s="1" customFormat="1" ht="21.75" customHeight="1" spans="1:21">
      <c r="A75" s="516" t="s">
        <v>120</v>
      </c>
      <c r="B75" s="515"/>
      <c r="C75" s="515"/>
      <c r="D75" s="515"/>
      <c r="E75" s="515"/>
      <c r="F75" s="515"/>
      <c r="G75" s="515" t="e">
        <f t="shared" ref="G75:G80" si="73">SUM(H75:I75)</f>
        <v>#VALUE!</v>
      </c>
      <c r="H75" s="515" t="e">
        <f>SUMIFS('[16]基本支出总表（开）'!P:P,'[16]基本支出总表（开）'!C:C,MID(A75,4,7))</f>
        <v>#VALUE!</v>
      </c>
      <c r="I75" s="515" t="e">
        <f>SUMIFS('[16]项目支出总表（开）'!Y:Y,'[16]项目支出总表（开）'!C:C,MID(A75,4,7))+SUMIFS('[16]项目支出总表（开）'!Z:Z,'[16]项目支出总表（开）'!C:C,MID(A75,4,7))</f>
        <v>#VALUE!</v>
      </c>
      <c r="J75" s="524" t="str">
        <f t="shared" si="66"/>
        <v/>
      </c>
      <c r="K75" s="524" t="str">
        <f t="shared" si="67"/>
        <v/>
      </c>
      <c r="L75" s="524" t="str">
        <f t="shared" si="68"/>
        <v/>
      </c>
      <c r="N75" s="530"/>
      <c r="O75" s="531"/>
      <c r="P75" s="531"/>
      <c r="Q75" s="531"/>
      <c r="S75" s="515" t="e">
        <f t="shared" ref="S75:S80" si="74">SUM(T75:U75)</f>
        <v>#VALUE!</v>
      </c>
      <c r="T75" s="515" t="e">
        <f>SUMIFS('[16]基本支出总表（开）'!M:M,'[16]基本支出总表（开）'!C:C,MID(TRIM(A75),2,7))</f>
        <v>#VALUE!</v>
      </c>
      <c r="U75" s="515" t="e">
        <f>SUMIFS('[16]项目支出总表（开）'!V:V,'[16]项目支出总表（开）'!C:C,MID(TRIM(A75),2,7))</f>
        <v>#VALUE!</v>
      </c>
    </row>
    <row r="76" s="1" customFormat="1" ht="21.75" customHeight="1" spans="1:21">
      <c r="A76" s="510" t="s">
        <v>121</v>
      </c>
      <c r="B76" s="511">
        <f t="shared" ref="B76:I76" si="75">B77+B79+B81+B83</f>
        <v>1927.132844</v>
      </c>
      <c r="C76" s="511">
        <f t="shared" si="75"/>
        <v>343.632844</v>
      </c>
      <c r="D76" s="511">
        <f t="shared" si="75"/>
        <v>308.288301</v>
      </c>
      <c r="E76" s="511">
        <f t="shared" si="75"/>
        <v>35.344543</v>
      </c>
      <c r="F76" s="511">
        <f t="shared" si="75"/>
        <v>1583.5</v>
      </c>
      <c r="G76" s="511" t="e">
        <f t="shared" si="75"/>
        <v>#VALUE!</v>
      </c>
      <c r="H76" s="511" t="e">
        <f t="shared" si="75"/>
        <v>#VALUE!</v>
      </c>
      <c r="I76" s="511" t="e">
        <f t="shared" si="75"/>
        <v>#VALUE!</v>
      </c>
      <c r="J76" s="522" t="e">
        <f t="shared" si="66"/>
        <v>#VALUE!</v>
      </c>
      <c r="K76" s="522" t="e">
        <f t="shared" si="67"/>
        <v>#VALUE!</v>
      </c>
      <c r="L76" s="522" t="e">
        <f t="shared" si="68"/>
        <v>#VALUE!</v>
      </c>
      <c r="O76" s="153"/>
      <c r="S76" s="511" t="e">
        <f t="shared" ref="S76:U76" si="76">S77+S79+S81+S83</f>
        <v>#VALUE!</v>
      </c>
      <c r="T76" s="511" t="e">
        <f t="shared" si="76"/>
        <v>#VALUE!</v>
      </c>
      <c r="U76" s="511" t="e">
        <f t="shared" si="76"/>
        <v>#VALUE!</v>
      </c>
    </row>
    <row r="77" s="1" customFormat="1" ht="21.75" customHeight="1" spans="1:21">
      <c r="A77" s="512" t="s">
        <v>122</v>
      </c>
      <c r="B77" s="513">
        <f t="shared" ref="B77:I77" si="77">SUM(B78)</f>
        <v>1285.5</v>
      </c>
      <c r="C77" s="513">
        <f t="shared" si="77"/>
        <v>0</v>
      </c>
      <c r="D77" s="513">
        <f t="shared" si="77"/>
        <v>0</v>
      </c>
      <c r="E77" s="513">
        <f t="shared" si="77"/>
        <v>0</v>
      </c>
      <c r="F77" s="513">
        <f t="shared" si="77"/>
        <v>1285.5</v>
      </c>
      <c r="G77" s="513" t="e">
        <f t="shared" si="77"/>
        <v>#VALUE!</v>
      </c>
      <c r="H77" s="513" t="e">
        <f t="shared" si="77"/>
        <v>#VALUE!</v>
      </c>
      <c r="I77" s="513" t="e">
        <f t="shared" si="77"/>
        <v>#VALUE!</v>
      </c>
      <c r="J77" s="523" t="e">
        <f t="shared" si="66"/>
        <v>#VALUE!</v>
      </c>
      <c r="K77" s="523" t="str">
        <f t="shared" si="67"/>
        <v/>
      </c>
      <c r="L77" s="523" t="e">
        <f t="shared" si="68"/>
        <v>#VALUE!</v>
      </c>
      <c r="O77" s="153"/>
      <c r="S77" s="513" t="e">
        <f t="shared" ref="S77:U77" si="78">SUM(S78)</f>
        <v>#VALUE!</v>
      </c>
      <c r="T77" s="513" t="e">
        <f t="shared" si="78"/>
        <v>#VALUE!</v>
      </c>
      <c r="U77" s="513" t="e">
        <f t="shared" si="78"/>
        <v>#VALUE!</v>
      </c>
    </row>
    <row r="78" s="1" customFormat="1" ht="21.75" customHeight="1" spans="1:21">
      <c r="A78" s="514" t="s">
        <v>123</v>
      </c>
      <c r="B78" s="515">
        <v>1285.5</v>
      </c>
      <c r="C78" s="515"/>
      <c r="D78" s="515"/>
      <c r="E78" s="515"/>
      <c r="F78" s="515">
        <v>1285.5</v>
      </c>
      <c r="G78" s="515" t="e">
        <f t="shared" si="73"/>
        <v>#VALUE!</v>
      </c>
      <c r="H78" s="515" t="e">
        <f>SUMIFS('[16]基本支出总表（开）'!P:P,'[16]基本支出总表（开）'!C:C,MID(A78,4,7))</f>
        <v>#VALUE!</v>
      </c>
      <c r="I78" s="515" t="e">
        <f>SUMIFS('[16]项目支出总表（开）'!Y:Y,'[16]项目支出总表（开）'!C:C,MID(A78,4,7))+SUMIFS('[16]项目支出总表（开）'!Z:Z,'[16]项目支出总表（开）'!C:C,MID(A78,4,7))</f>
        <v>#VALUE!</v>
      </c>
      <c r="J78" s="524" t="e">
        <f t="shared" si="66"/>
        <v>#VALUE!</v>
      </c>
      <c r="K78" s="524" t="str">
        <f t="shared" si="67"/>
        <v/>
      </c>
      <c r="L78" s="524" t="e">
        <f t="shared" si="68"/>
        <v>#VALUE!</v>
      </c>
      <c r="O78" s="153"/>
      <c r="S78" s="515" t="e">
        <f t="shared" si="74"/>
        <v>#VALUE!</v>
      </c>
      <c r="T78" s="515" t="e">
        <f>SUMIFS('[16]基本支出总表（开）'!M:M,'[16]基本支出总表（开）'!C:C,MID(TRIM(A78),2,7))</f>
        <v>#VALUE!</v>
      </c>
      <c r="U78" s="515" t="e">
        <f>SUMIFS('[16]项目支出总表（开）'!V:V,'[16]项目支出总表（开）'!C:C,MID(TRIM(A78),2,7))</f>
        <v>#VALUE!</v>
      </c>
    </row>
    <row r="79" s="1" customFormat="1" ht="21.75" customHeight="1" spans="1:21">
      <c r="A79" s="512" t="s">
        <v>124</v>
      </c>
      <c r="B79" s="513">
        <f t="shared" ref="B79:I79" si="79">SUM(B80)</f>
        <v>80</v>
      </c>
      <c r="C79" s="513">
        <f t="shared" si="79"/>
        <v>0</v>
      </c>
      <c r="D79" s="513">
        <f t="shared" si="79"/>
        <v>0</v>
      </c>
      <c r="E79" s="513">
        <f t="shared" si="79"/>
        <v>0</v>
      </c>
      <c r="F79" s="513">
        <f t="shared" si="79"/>
        <v>80</v>
      </c>
      <c r="G79" s="513" t="e">
        <f t="shared" si="79"/>
        <v>#VALUE!</v>
      </c>
      <c r="H79" s="513" t="e">
        <f t="shared" si="79"/>
        <v>#VALUE!</v>
      </c>
      <c r="I79" s="513" t="e">
        <f t="shared" si="79"/>
        <v>#VALUE!</v>
      </c>
      <c r="J79" s="523" t="e">
        <f t="shared" si="66"/>
        <v>#VALUE!</v>
      </c>
      <c r="K79" s="523" t="str">
        <f t="shared" si="67"/>
        <v/>
      </c>
      <c r="L79" s="523" t="e">
        <f t="shared" si="68"/>
        <v>#VALUE!</v>
      </c>
      <c r="O79" s="153"/>
      <c r="S79" s="513" t="e">
        <f t="shared" ref="S79:U79" si="80">SUM(S80)</f>
        <v>#VALUE!</v>
      </c>
      <c r="T79" s="513" t="e">
        <f t="shared" si="80"/>
        <v>#VALUE!</v>
      </c>
      <c r="U79" s="513" t="e">
        <f t="shared" si="80"/>
        <v>#VALUE!</v>
      </c>
    </row>
    <row r="80" s="1" customFormat="1" ht="21.75" customHeight="1" spans="1:21">
      <c r="A80" s="514" t="s">
        <v>125</v>
      </c>
      <c r="B80" s="515">
        <v>80</v>
      </c>
      <c r="C80" s="515"/>
      <c r="D80" s="515"/>
      <c r="E80" s="515"/>
      <c r="F80" s="515">
        <v>80</v>
      </c>
      <c r="G80" s="515" t="e">
        <f t="shared" si="73"/>
        <v>#VALUE!</v>
      </c>
      <c r="H80" s="515" t="e">
        <f>SUMIFS('[16]基本支出总表（开）'!P:P,'[16]基本支出总表（开）'!C:C,MID(A80,4,7))</f>
        <v>#VALUE!</v>
      </c>
      <c r="I80" s="515" t="e">
        <f>SUMIFS('[16]项目支出总表（开）'!Y:Y,'[16]项目支出总表（开）'!C:C,MID(A80,4,7))+SUMIFS('[16]项目支出总表（开）'!Z:Z,'[16]项目支出总表（开）'!C:C,MID(A80,4,7))</f>
        <v>#VALUE!</v>
      </c>
      <c r="J80" s="524" t="e">
        <f t="shared" si="66"/>
        <v>#VALUE!</v>
      </c>
      <c r="K80" s="524" t="str">
        <f t="shared" si="67"/>
        <v/>
      </c>
      <c r="L80" s="524" t="e">
        <f t="shared" si="68"/>
        <v>#VALUE!</v>
      </c>
      <c r="O80" s="153"/>
      <c r="S80" s="515" t="e">
        <f t="shared" si="74"/>
        <v>#VALUE!</v>
      </c>
      <c r="T80" s="515" t="e">
        <f>SUMIFS('[16]基本支出总表（开）'!M:M,'[16]基本支出总表（开）'!C:C,MID(TRIM(A80),2,7))</f>
        <v>#VALUE!</v>
      </c>
      <c r="U80" s="515" t="e">
        <f>SUMIFS('[16]项目支出总表（开）'!V:V,'[16]项目支出总表（开）'!C:C,MID(TRIM(A80),2,7))</f>
        <v>#VALUE!</v>
      </c>
    </row>
    <row r="81" s="1" customFormat="1" ht="21.75" customHeight="1" spans="1:21">
      <c r="A81" s="512" t="s">
        <v>126</v>
      </c>
      <c r="B81" s="513">
        <f t="shared" ref="B81:I81" si="81">SUM(B82)</f>
        <v>115</v>
      </c>
      <c r="C81" s="513">
        <f t="shared" si="81"/>
        <v>0</v>
      </c>
      <c r="D81" s="513">
        <f t="shared" si="81"/>
        <v>0</v>
      </c>
      <c r="E81" s="513">
        <f t="shared" si="81"/>
        <v>0</v>
      </c>
      <c r="F81" s="513">
        <f t="shared" si="81"/>
        <v>115</v>
      </c>
      <c r="G81" s="513" t="e">
        <f t="shared" si="81"/>
        <v>#VALUE!</v>
      </c>
      <c r="H81" s="513" t="e">
        <f t="shared" si="81"/>
        <v>#VALUE!</v>
      </c>
      <c r="I81" s="513" t="e">
        <f t="shared" si="81"/>
        <v>#VALUE!</v>
      </c>
      <c r="J81" s="523" t="e">
        <f t="shared" si="66"/>
        <v>#VALUE!</v>
      </c>
      <c r="K81" s="523" t="str">
        <f t="shared" si="67"/>
        <v/>
      </c>
      <c r="L81" s="523" t="e">
        <f t="shared" si="68"/>
        <v>#VALUE!</v>
      </c>
      <c r="O81" s="153"/>
      <c r="S81" s="513" t="e">
        <f t="shared" ref="S81:U81" si="82">SUM(S82)</f>
        <v>#VALUE!</v>
      </c>
      <c r="T81" s="513" t="e">
        <f t="shared" si="82"/>
        <v>#VALUE!</v>
      </c>
      <c r="U81" s="513" t="e">
        <f t="shared" si="82"/>
        <v>#VALUE!</v>
      </c>
    </row>
    <row r="82" s="1" customFormat="1" ht="21.75" customHeight="1" spans="1:21">
      <c r="A82" s="514" t="s">
        <v>127</v>
      </c>
      <c r="B82" s="515">
        <v>115</v>
      </c>
      <c r="C82" s="515"/>
      <c r="D82" s="515"/>
      <c r="E82" s="515"/>
      <c r="F82" s="515">
        <v>115</v>
      </c>
      <c r="G82" s="515" t="e">
        <f t="shared" ref="G82:G86" si="83">SUM(H82:I82)</f>
        <v>#VALUE!</v>
      </c>
      <c r="H82" s="515" t="e">
        <f>SUMIFS('[16]基本支出总表（开）'!P:P,'[16]基本支出总表（开）'!C:C,MID(A82,4,7))</f>
        <v>#VALUE!</v>
      </c>
      <c r="I82" s="515" t="e">
        <f>SUMIFS('[16]项目支出总表（开）'!Y:Y,'[16]项目支出总表（开）'!C:C,MID(A82,4,7))+SUMIFS('[16]项目支出总表（开）'!Z:Z,'[16]项目支出总表（开）'!C:C,MID(A82,4,7))</f>
        <v>#VALUE!</v>
      </c>
      <c r="J82" s="524" t="e">
        <f t="shared" si="66"/>
        <v>#VALUE!</v>
      </c>
      <c r="K82" s="524" t="str">
        <f t="shared" si="67"/>
        <v/>
      </c>
      <c r="L82" s="524" t="e">
        <f t="shared" si="68"/>
        <v>#VALUE!</v>
      </c>
      <c r="O82" s="153"/>
      <c r="S82" s="515" t="e">
        <f t="shared" ref="S82:S86" si="84">SUM(T82:U82)</f>
        <v>#VALUE!</v>
      </c>
      <c r="T82" s="515" t="e">
        <f>SUMIFS('[16]基本支出总表（开）'!M:M,'[16]基本支出总表（开）'!C:C,MID(TRIM(A82),2,7))</f>
        <v>#VALUE!</v>
      </c>
      <c r="U82" s="515" t="e">
        <f>SUMIFS('[16]项目支出总表（开）'!V:V,'[16]项目支出总表（开）'!C:C,MID(TRIM(A82),2,7))</f>
        <v>#VALUE!</v>
      </c>
    </row>
    <row r="83" s="1" customFormat="1" ht="21.75" customHeight="1" spans="1:21">
      <c r="A83" s="512" t="s">
        <v>128</v>
      </c>
      <c r="B83" s="513">
        <f t="shared" ref="B83:I83" si="85">SUM(B84:B86)</f>
        <v>446.632844</v>
      </c>
      <c r="C83" s="513">
        <f t="shared" si="85"/>
        <v>343.632844</v>
      </c>
      <c r="D83" s="513">
        <f t="shared" si="85"/>
        <v>308.288301</v>
      </c>
      <c r="E83" s="513">
        <f t="shared" si="85"/>
        <v>35.344543</v>
      </c>
      <c r="F83" s="513">
        <f t="shared" si="85"/>
        <v>103</v>
      </c>
      <c r="G83" s="513" t="e">
        <f t="shared" si="85"/>
        <v>#VALUE!</v>
      </c>
      <c r="H83" s="513" t="e">
        <f t="shared" si="85"/>
        <v>#VALUE!</v>
      </c>
      <c r="I83" s="513" t="e">
        <f t="shared" si="85"/>
        <v>#VALUE!</v>
      </c>
      <c r="J83" s="523" t="e">
        <f t="shared" si="66"/>
        <v>#VALUE!</v>
      </c>
      <c r="K83" s="523" t="e">
        <f t="shared" si="67"/>
        <v>#VALUE!</v>
      </c>
      <c r="L83" s="523" t="e">
        <f t="shared" si="68"/>
        <v>#VALUE!</v>
      </c>
      <c r="O83" s="153"/>
      <c r="S83" s="513" t="e">
        <f t="shared" ref="S83:U83" si="86">SUM(S84:S86)</f>
        <v>#VALUE!</v>
      </c>
      <c r="T83" s="513" t="e">
        <f t="shared" si="86"/>
        <v>#VALUE!</v>
      </c>
      <c r="U83" s="513" t="e">
        <f t="shared" si="86"/>
        <v>#VALUE!</v>
      </c>
    </row>
    <row r="84" s="1" customFormat="1" ht="21.75" customHeight="1" spans="1:21">
      <c r="A84" s="514" t="s">
        <v>129</v>
      </c>
      <c r="B84" s="515">
        <v>343.632844</v>
      </c>
      <c r="C84" s="515">
        <v>343.632844</v>
      </c>
      <c r="D84" s="515">
        <v>308.288301</v>
      </c>
      <c r="E84" s="515">
        <v>35.344543</v>
      </c>
      <c r="F84" s="515"/>
      <c r="G84" s="515" t="e">
        <f t="shared" si="83"/>
        <v>#VALUE!</v>
      </c>
      <c r="H84" s="515" t="e">
        <f>SUMIFS('[16]基本支出总表（开）'!P:P,'[16]基本支出总表（开）'!C:C,MID(A84,4,7))</f>
        <v>#VALUE!</v>
      </c>
      <c r="I84" s="515" t="e">
        <f>SUMIFS('[16]项目支出总表（开）'!Y:Y,'[16]项目支出总表（开）'!C:C,MID(A84,4,7))+SUMIFS('[16]项目支出总表（开）'!Z:Z,'[16]项目支出总表（开）'!C:C,MID(A84,4,7))</f>
        <v>#VALUE!</v>
      </c>
      <c r="J84" s="524" t="e">
        <f t="shared" si="66"/>
        <v>#VALUE!</v>
      </c>
      <c r="K84" s="524" t="e">
        <f t="shared" si="67"/>
        <v>#VALUE!</v>
      </c>
      <c r="L84" s="524" t="str">
        <f t="shared" si="68"/>
        <v/>
      </c>
      <c r="O84" s="153"/>
      <c r="S84" s="515" t="e">
        <f t="shared" si="84"/>
        <v>#VALUE!</v>
      </c>
      <c r="T84" s="515" t="e">
        <f>SUMIFS('[16]基本支出总表（开）'!M:M,'[16]基本支出总表（开）'!C:C,MID(TRIM(A84),2,7))</f>
        <v>#VALUE!</v>
      </c>
      <c r="U84" s="515" t="e">
        <f>SUMIFS('[16]项目支出总表（开）'!V:V,'[16]项目支出总表（开）'!C:C,MID(TRIM(A84),2,7))</f>
        <v>#VALUE!</v>
      </c>
    </row>
    <row r="85" s="1" customFormat="1" ht="21.75" customHeight="1" spans="1:21">
      <c r="A85" s="516" t="s">
        <v>130</v>
      </c>
      <c r="B85" s="515"/>
      <c r="C85" s="515"/>
      <c r="D85" s="515"/>
      <c r="E85" s="515"/>
      <c r="F85" s="515"/>
      <c r="G85" s="515" t="e">
        <f t="shared" si="83"/>
        <v>#VALUE!</v>
      </c>
      <c r="H85" s="515" t="e">
        <f>SUMIFS('[16]基本支出总表（开）'!P:P,'[16]基本支出总表（开）'!C:C,MID(A85,4,7))</f>
        <v>#VALUE!</v>
      </c>
      <c r="I85" s="515" t="e">
        <f>SUMIFS('[16]项目支出总表（开）'!Y:Y,'[16]项目支出总表（开）'!C:C,MID(A85,4,7))+SUMIFS('[16]项目支出总表（开）'!Z:Z,'[16]项目支出总表（开）'!C:C,MID(A85,4,7))</f>
        <v>#VALUE!</v>
      </c>
      <c r="J85" s="524" t="str">
        <f t="shared" si="66"/>
        <v/>
      </c>
      <c r="K85" s="524" t="str">
        <f t="shared" si="67"/>
        <v/>
      </c>
      <c r="L85" s="524" t="str">
        <f t="shared" si="68"/>
        <v/>
      </c>
      <c r="O85" s="153"/>
      <c r="S85" s="515" t="e">
        <f t="shared" si="84"/>
        <v>#VALUE!</v>
      </c>
      <c r="T85" s="515" t="e">
        <f>SUMIFS('[16]基本支出总表（开）'!M:M,'[16]基本支出总表（开）'!C:C,MID(TRIM(A85),2,7))</f>
        <v>#VALUE!</v>
      </c>
      <c r="U85" s="515" t="e">
        <f>SUMIFS('[16]项目支出总表（开）'!V:V,'[16]项目支出总表（开）'!C:C,MID(TRIM(A85),2,7))</f>
        <v>#VALUE!</v>
      </c>
    </row>
    <row r="86" s="1" customFormat="1" ht="21.75" customHeight="1" spans="1:21">
      <c r="A86" s="514" t="s">
        <v>131</v>
      </c>
      <c r="B86" s="515">
        <v>103</v>
      </c>
      <c r="C86" s="515"/>
      <c r="D86" s="515"/>
      <c r="E86" s="515"/>
      <c r="F86" s="515">
        <v>103</v>
      </c>
      <c r="G86" s="515" t="e">
        <f t="shared" si="83"/>
        <v>#VALUE!</v>
      </c>
      <c r="H86" s="515" t="e">
        <f>SUMIFS('[16]基本支出总表（开）'!P:P,'[16]基本支出总表（开）'!C:C,MID(A86,4,7))</f>
        <v>#VALUE!</v>
      </c>
      <c r="I86" s="515" t="e">
        <f>SUMIFS('[16]项目支出总表（开）'!Y:Y,'[16]项目支出总表（开）'!C:C,MID(A86,4,7))+SUMIFS('[16]项目支出总表（开）'!Z:Z,'[16]项目支出总表（开）'!C:C,MID(A86,4,7))</f>
        <v>#VALUE!</v>
      </c>
      <c r="J86" s="524" t="e">
        <f t="shared" si="66"/>
        <v>#VALUE!</v>
      </c>
      <c r="K86" s="524" t="str">
        <f t="shared" si="67"/>
        <v/>
      </c>
      <c r="L86" s="524" t="e">
        <f t="shared" si="68"/>
        <v>#VALUE!</v>
      </c>
      <c r="O86" s="153"/>
      <c r="S86" s="515" t="e">
        <f t="shared" si="84"/>
        <v>#VALUE!</v>
      </c>
      <c r="T86" s="515" t="e">
        <f>SUMIFS('[16]基本支出总表（开）'!M:M,'[16]基本支出总表（开）'!C:C,MID(TRIM(A86),2,7))</f>
        <v>#VALUE!</v>
      </c>
      <c r="U86" s="515" t="e">
        <f>SUMIFS('[16]项目支出总表（开）'!V:V,'[16]项目支出总表（开）'!C:C,MID(TRIM(A86),2,7))</f>
        <v>#VALUE!</v>
      </c>
    </row>
    <row r="87" s="1" customFormat="1" ht="21.75" customHeight="1" spans="1:21">
      <c r="A87" s="510" t="s">
        <v>132</v>
      </c>
      <c r="B87" s="511">
        <f t="shared" ref="B87:I87" si="87">B88+B91</f>
        <v>33566.001674</v>
      </c>
      <c r="C87" s="511">
        <f t="shared" si="87"/>
        <v>23669.565254</v>
      </c>
      <c r="D87" s="511">
        <f t="shared" si="87"/>
        <v>22937.75367</v>
      </c>
      <c r="E87" s="511">
        <f t="shared" si="87"/>
        <v>731.811584</v>
      </c>
      <c r="F87" s="511">
        <f t="shared" si="87"/>
        <v>9896.43642</v>
      </c>
      <c r="G87" s="511" t="e">
        <f t="shared" si="87"/>
        <v>#VALUE!</v>
      </c>
      <c r="H87" s="511" t="e">
        <f t="shared" si="87"/>
        <v>#VALUE!</v>
      </c>
      <c r="I87" s="511" t="e">
        <f t="shared" si="87"/>
        <v>#VALUE!</v>
      </c>
      <c r="J87" s="522" t="e">
        <f t="shared" si="66"/>
        <v>#VALUE!</v>
      </c>
      <c r="K87" s="522" t="e">
        <f t="shared" si="67"/>
        <v>#VALUE!</v>
      </c>
      <c r="L87" s="522" t="e">
        <f t="shared" si="68"/>
        <v>#VALUE!</v>
      </c>
      <c r="O87" s="153"/>
      <c r="S87" s="511" t="e">
        <f t="shared" ref="S87:U87" si="88">S88+S91</f>
        <v>#VALUE!</v>
      </c>
      <c r="T87" s="511" t="e">
        <f t="shared" si="88"/>
        <v>#VALUE!</v>
      </c>
      <c r="U87" s="511" t="e">
        <f t="shared" si="88"/>
        <v>#VALUE!</v>
      </c>
    </row>
    <row r="88" s="1" customFormat="1" ht="21.75" customHeight="1" spans="1:21">
      <c r="A88" s="512" t="s">
        <v>133</v>
      </c>
      <c r="B88" s="513">
        <f t="shared" ref="B88:I88" si="89">SUM(B89:B90)</f>
        <v>503.189188</v>
      </c>
      <c r="C88" s="513">
        <f t="shared" si="89"/>
        <v>348.189188</v>
      </c>
      <c r="D88" s="513">
        <f t="shared" si="89"/>
        <v>322.792678</v>
      </c>
      <c r="E88" s="513">
        <f t="shared" si="89"/>
        <v>25.39651</v>
      </c>
      <c r="F88" s="513">
        <f t="shared" si="89"/>
        <v>155</v>
      </c>
      <c r="G88" s="513" t="e">
        <f t="shared" si="89"/>
        <v>#VALUE!</v>
      </c>
      <c r="H88" s="513" t="e">
        <f t="shared" si="89"/>
        <v>#VALUE!</v>
      </c>
      <c r="I88" s="513" t="e">
        <f t="shared" si="89"/>
        <v>#VALUE!</v>
      </c>
      <c r="J88" s="523" t="e">
        <f t="shared" si="66"/>
        <v>#VALUE!</v>
      </c>
      <c r="K88" s="523" t="e">
        <f t="shared" si="67"/>
        <v>#VALUE!</v>
      </c>
      <c r="L88" s="523" t="e">
        <f t="shared" si="68"/>
        <v>#VALUE!</v>
      </c>
      <c r="O88" s="153"/>
      <c r="S88" s="513" t="e">
        <f t="shared" ref="S88:U88" si="90">SUM(S89:S90)</f>
        <v>#VALUE!</v>
      </c>
      <c r="T88" s="513" t="e">
        <f t="shared" si="90"/>
        <v>#VALUE!</v>
      </c>
      <c r="U88" s="513" t="e">
        <f t="shared" si="90"/>
        <v>#VALUE!</v>
      </c>
    </row>
    <row r="89" s="1" customFormat="1" ht="21.75" customHeight="1" spans="1:21">
      <c r="A89" s="514" t="s">
        <v>134</v>
      </c>
      <c r="B89" s="515">
        <v>348.189188</v>
      </c>
      <c r="C89" s="515">
        <v>348.189188</v>
      </c>
      <c r="D89" s="515">
        <v>322.792678</v>
      </c>
      <c r="E89" s="515">
        <v>25.39651</v>
      </c>
      <c r="F89" s="515"/>
      <c r="G89" s="515" t="e">
        <f t="shared" ref="G89:G94" si="91">SUM(H89:I89)</f>
        <v>#VALUE!</v>
      </c>
      <c r="H89" s="515" t="e">
        <f>SUMIFS('[16]基本支出总表（开）'!P:P,'[16]基本支出总表（开）'!C:C,MID(A89,4,7))</f>
        <v>#VALUE!</v>
      </c>
      <c r="I89" s="515" t="e">
        <f>SUMIFS('[16]项目支出总表（开）'!Y:Y,'[16]项目支出总表（开）'!C:C,MID(A89,4,7))+SUMIFS('[16]项目支出总表（开）'!Z:Z,'[16]项目支出总表（开）'!C:C,MID(A89,4,7))</f>
        <v>#VALUE!</v>
      </c>
      <c r="J89" s="524" t="e">
        <f t="shared" si="66"/>
        <v>#VALUE!</v>
      </c>
      <c r="K89" s="524" t="e">
        <f t="shared" si="67"/>
        <v>#VALUE!</v>
      </c>
      <c r="L89" s="524" t="str">
        <f t="shared" si="68"/>
        <v/>
      </c>
      <c r="O89" s="153"/>
      <c r="S89" s="515" t="e">
        <f t="shared" ref="S89:S94" si="92">SUM(T89:U89)</f>
        <v>#VALUE!</v>
      </c>
      <c r="T89" s="515" t="e">
        <f>SUMIFS('[16]基本支出总表（开）'!M:M,'[16]基本支出总表（开）'!C:C,MID(TRIM(A89),2,7))</f>
        <v>#VALUE!</v>
      </c>
      <c r="U89" s="515" t="e">
        <f>SUMIFS('[16]项目支出总表（开）'!V:V,'[16]项目支出总表（开）'!C:C,MID(TRIM(A89),2,7))</f>
        <v>#VALUE!</v>
      </c>
    </row>
    <row r="90" s="1" customFormat="1" ht="21.75" customHeight="1" spans="1:21">
      <c r="A90" s="514" t="s">
        <v>135</v>
      </c>
      <c r="B90" s="515">
        <v>155</v>
      </c>
      <c r="C90" s="515"/>
      <c r="D90" s="515"/>
      <c r="E90" s="515"/>
      <c r="F90" s="515">
        <v>155</v>
      </c>
      <c r="G90" s="515" t="e">
        <f t="shared" si="91"/>
        <v>#VALUE!</v>
      </c>
      <c r="H90" s="515" t="e">
        <f>SUMIFS('[16]基本支出总表（开）'!P:P,'[16]基本支出总表（开）'!C:C,MID(A90,4,7))</f>
        <v>#VALUE!</v>
      </c>
      <c r="I90" s="515" t="e">
        <f>SUMIFS('[16]项目支出总表（开）'!Y:Y,'[16]项目支出总表（开）'!C:C,MID(A90,4,7))+SUMIFS('[16]项目支出总表（开）'!Z:Z,'[16]项目支出总表（开）'!C:C,MID(A90,4,7))</f>
        <v>#VALUE!</v>
      </c>
      <c r="J90" s="524" t="e">
        <f t="shared" si="66"/>
        <v>#VALUE!</v>
      </c>
      <c r="K90" s="524" t="str">
        <f t="shared" si="67"/>
        <v/>
      </c>
      <c r="L90" s="524" t="e">
        <f t="shared" si="68"/>
        <v>#VALUE!</v>
      </c>
      <c r="O90" s="153"/>
      <c r="S90" s="515" t="e">
        <f t="shared" si="92"/>
        <v>#VALUE!</v>
      </c>
      <c r="T90" s="515" t="e">
        <f>SUMIFS('[16]基本支出总表（开）'!M:M,'[16]基本支出总表（开）'!C:C,MID(TRIM(A90),2,7))</f>
        <v>#VALUE!</v>
      </c>
      <c r="U90" s="515" t="e">
        <f>SUMIFS('[16]项目支出总表（开）'!V:V,'[16]项目支出总表（开）'!C:C,MID(TRIM(A90),2,7))</f>
        <v>#VALUE!</v>
      </c>
    </row>
    <row r="91" s="1" customFormat="1" ht="21.75" customHeight="1" spans="1:21">
      <c r="A91" s="512" t="s">
        <v>136</v>
      </c>
      <c r="B91" s="513">
        <f t="shared" ref="B91:I91" si="93">SUM(B92:B94)</f>
        <v>33062.812486</v>
      </c>
      <c r="C91" s="513">
        <f t="shared" si="93"/>
        <v>23321.376066</v>
      </c>
      <c r="D91" s="513">
        <f t="shared" si="93"/>
        <v>22614.960992</v>
      </c>
      <c r="E91" s="513">
        <f t="shared" si="93"/>
        <v>706.415074</v>
      </c>
      <c r="F91" s="513">
        <f t="shared" si="93"/>
        <v>9741.43642</v>
      </c>
      <c r="G91" s="513" t="e">
        <f t="shared" si="93"/>
        <v>#VALUE!</v>
      </c>
      <c r="H91" s="513" t="e">
        <f t="shared" si="93"/>
        <v>#VALUE!</v>
      </c>
      <c r="I91" s="513" t="e">
        <f t="shared" si="93"/>
        <v>#VALUE!</v>
      </c>
      <c r="J91" s="523" t="e">
        <f t="shared" si="66"/>
        <v>#VALUE!</v>
      </c>
      <c r="K91" s="523" t="e">
        <f t="shared" si="67"/>
        <v>#VALUE!</v>
      </c>
      <c r="L91" s="523" t="e">
        <f t="shared" si="68"/>
        <v>#VALUE!</v>
      </c>
      <c r="O91" s="153"/>
      <c r="S91" s="513" t="e">
        <f t="shared" ref="S91:U91" si="94">SUM(S92:S94)</f>
        <v>#VALUE!</v>
      </c>
      <c r="T91" s="513" t="e">
        <f t="shared" si="94"/>
        <v>#VALUE!</v>
      </c>
      <c r="U91" s="513" t="e">
        <f t="shared" si="94"/>
        <v>#VALUE!</v>
      </c>
    </row>
    <row r="92" s="1" customFormat="1" ht="21.75" customHeight="1" spans="1:21">
      <c r="A92" s="514" t="s">
        <v>137</v>
      </c>
      <c r="B92" s="515">
        <v>2391.15</v>
      </c>
      <c r="C92" s="515"/>
      <c r="D92" s="515"/>
      <c r="E92" s="515"/>
      <c r="F92" s="515">
        <v>2391.15</v>
      </c>
      <c r="G92" s="515" t="e">
        <f t="shared" si="91"/>
        <v>#VALUE!</v>
      </c>
      <c r="H92" s="515" t="e">
        <f>SUMIFS('[16]基本支出总表（开）'!P:P,'[16]基本支出总表（开）'!C:C,MID(A92,4,7))</f>
        <v>#VALUE!</v>
      </c>
      <c r="I92" s="515" t="e">
        <f>SUMIFS('[16]项目支出总表（开）'!Y:Y,'[16]项目支出总表（开）'!C:C,MID(A92,4,7))+SUMIFS('[16]项目支出总表（开）'!Z:Z,'[16]项目支出总表（开）'!C:C,MID(A92,4,7))</f>
        <v>#VALUE!</v>
      </c>
      <c r="J92" s="524" t="e">
        <f t="shared" si="66"/>
        <v>#VALUE!</v>
      </c>
      <c r="K92" s="524" t="str">
        <f t="shared" si="67"/>
        <v/>
      </c>
      <c r="L92" s="524" t="e">
        <f t="shared" si="68"/>
        <v>#VALUE!</v>
      </c>
      <c r="O92" s="153"/>
      <c r="S92" s="515" t="e">
        <f t="shared" si="92"/>
        <v>#VALUE!</v>
      </c>
      <c r="T92" s="515" t="e">
        <f>SUMIFS('[16]基本支出总表（开）'!M:M,'[16]基本支出总表（开）'!C:C,MID(TRIM(A92),2,7))</f>
        <v>#VALUE!</v>
      </c>
      <c r="U92" s="515" t="e">
        <f>SUMIFS('[16]项目支出总表（开）'!V:V,'[16]项目支出总表（开）'!C:C,MID(TRIM(A92),2,7))</f>
        <v>#VALUE!</v>
      </c>
    </row>
    <row r="93" s="1" customFormat="1" ht="21.75" customHeight="1" spans="1:21">
      <c r="A93" s="514" t="s">
        <v>138</v>
      </c>
      <c r="B93" s="515">
        <v>19931.09725</v>
      </c>
      <c r="C93" s="515">
        <v>13608.44083</v>
      </c>
      <c r="D93" s="515">
        <v>13193.729694</v>
      </c>
      <c r="E93" s="515">
        <v>414.711136</v>
      </c>
      <c r="F93" s="515">
        <v>6322.65642</v>
      </c>
      <c r="G93" s="515" t="e">
        <f t="shared" si="91"/>
        <v>#VALUE!</v>
      </c>
      <c r="H93" s="515" t="e">
        <f>SUMIFS('[16]基本支出总表（开）'!P:P,'[16]基本支出总表（开）'!C:C,MID(A93,4,7))</f>
        <v>#VALUE!</v>
      </c>
      <c r="I93" s="515" t="e">
        <f>SUMIFS('[16]项目支出总表（开）'!Y:Y,'[16]项目支出总表（开）'!C:C,MID(A93,4,7))+SUMIFS('[16]项目支出总表（开）'!Z:Z,'[16]项目支出总表（开）'!C:C,MID(A93,4,7))</f>
        <v>#VALUE!</v>
      </c>
      <c r="J93" s="524" t="e">
        <f t="shared" si="66"/>
        <v>#VALUE!</v>
      </c>
      <c r="K93" s="524" t="e">
        <f t="shared" si="67"/>
        <v>#VALUE!</v>
      </c>
      <c r="L93" s="524" t="e">
        <f t="shared" si="68"/>
        <v>#VALUE!</v>
      </c>
      <c r="O93" s="153"/>
      <c r="S93" s="515" t="e">
        <f t="shared" si="92"/>
        <v>#VALUE!</v>
      </c>
      <c r="T93" s="515" t="e">
        <f>SUMIFS('[16]基本支出总表（开）'!M:M,'[16]基本支出总表（开）'!C:C,MID(TRIM(A93),2,7))</f>
        <v>#VALUE!</v>
      </c>
      <c r="U93" s="515" t="e">
        <f>SUMIFS('[16]项目支出总表（开）'!V:V,'[16]项目支出总表（开）'!C:C,MID(TRIM(A93),2,7))</f>
        <v>#VALUE!</v>
      </c>
    </row>
    <row r="94" s="1" customFormat="1" ht="21.75" customHeight="1" spans="1:21">
      <c r="A94" s="514" t="s">
        <v>139</v>
      </c>
      <c r="B94" s="515">
        <v>10740.565236</v>
      </c>
      <c r="C94" s="515">
        <v>9712.935236</v>
      </c>
      <c r="D94" s="515">
        <v>9421.231298</v>
      </c>
      <c r="E94" s="515">
        <v>291.703938</v>
      </c>
      <c r="F94" s="515">
        <v>1027.63</v>
      </c>
      <c r="G94" s="515" t="e">
        <f t="shared" si="91"/>
        <v>#VALUE!</v>
      </c>
      <c r="H94" s="515" t="e">
        <f>SUMIFS('[16]基本支出总表（开）'!P:P,'[16]基本支出总表（开）'!C:C,MID(A94,4,7))</f>
        <v>#VALUE!</v>
      </c>
      <c r="I94" s="515" t="e">
        <f>SUMIFS('[16]项目支出总表（开）'!Y:Y,'[16]项目支出总表（开）'!C:C,MID(A94,4,7))+SUMIFS('[16]项目支出总表（开）'!Z:Z,'[16]项目支出总表（开）'!C:C,MID(A94,4,7))</f>
        <v>#VALUE!</v>
      </c>
      <c r="J94" s="524" t="e">
        <f t="shared" si="66"/>
        <v>#VALUE!</v>
      </c>
      <c r="K94" s="524" t="e">
        <f t="shared" si="67"/>
        <v>#VALUE!</v>
      </c>
      <c r="L94" s="524" t="e">
        <f t="shared" si="68"/>
        <v>#VALUE!</v>
      </c>
      <c r="O94" s="153"/>
      <c r="S94" s="515" t="e">
        <f t="shared" si="92"/>
        <v>#VALUE!</v>
      </c>
      <c r="T94" s="515" t="e">
        <f>SUMIFS('[16]基本支出总表（开）'!M:M,'[16]基本支出总表（开）'!C:C,MID(TRIM(A94),2,7))</f>
        <v>#VALUE!</v>
      </c>
      <c r="U94" s="515" t="e">
        <f>SUMIFS('[16]项目支出总表（开）'!V:V,'[16]项目支出总表（开）'!C:C,MID(TRIM(A94),2,7))</f>
        <v>#VALUE!</v>
      </c>
    </row>
    <row r="95" s="1" customFormat="1" ht="21.75" customHeight="1" spans="1:21">
      <c r="A95" s="510" t="s">
        <v>142</v>
      </c>
      <c r="B95" s="511">
        <f t="shared" ref="B95:I95" si="95">B96+B99+B101</f>
        <v>2759.082243</v>
      </c>
      <c r="C95" s="511">
        <f t="shared" si="95"/>
        <v>250.682243</v>
      </c>
      <c r="D95" s="511">
        <f t="shared" si="95"/>
        <v>222.637112</v>
      </c>
      <c r="E95" s="511">
        <f t="shared" si="95"/>
        <v>28.045131</v>
      </c>
      <c r="F95" s="511">
        <f t="shared" si="95"/>
        <v>2508.4</v>
      </c>
      <c r="G95" s="511" t="e">
        <f t="shared" si="95"/>
        <v>#VALUE!</v>
      </c>
      <c r="H95" s="511" t="e">
        <f t="shared" si="95"/>
        <v>#VALUE!</v>
      </c>
      <c r="I95" s="511" t="e">
        <f t="shared" si="95"/>
        <v>#VALUE!</v>
      </c>
      <c r="J95" s="522" t="e">
        <f t="shared" si="66"/>
        <v>#VALUE!</v>
      </c>
      <c r="K95" s="522" t="e">
        <f t="shared" si="67"/>
        <v>#VALUE!</v>
      </c>
      <c r="L95" s="522" t="e">
        <f t="shared" si="68"/>
        <v>#VALUE!</v>
      </c>
      <c r="O95" s="153"/>
      <c r="S95" s="511" t="e">
        <f t="shared" ref="S95:U95" si="96">S96+S99+S101</f>
        <v>#VALUE!</v>
      </c>
      <c r="T95" s="511" t="e">
        <f t="shared" si="96"/>
        <v>#VALUE!</v>
      </c>
      <c r="U95" s="511" t="e">
        <f t="shared" si="96"/>
        <v>#VALUE!</v>
      </c>
    </row>
    <row r="96" s="1" customFormat="1" ht="21.75" customHeight="1" spans="1:21">
      <c r="A96" s="512" t="s">
        <v>143</v>
      </c>
      <c r="B96" s="513">
        <f t="shared" ref="B96:I96" si="97">SUM(B97:B98)</f>
        <v>595.682243</v>
      </c>
      <c r="C96" s="513">
        <f t="shared" si="97"/>
        <v>250.682243</v>
      </c>
      <c r="D96" s="513">
        <f t="shared" si="97"/>
        <v>222.637112</v>
      </c>
      <c r="E96" s="513">
        <f t="shared" si="97"/>
        <v>28.045131</v>
      </c>
      <c r="F96" s="513">
        <f t="shared" si="97"/>
        <v>345</v>
      </c>
      <c r="G96" s="513" t="e">
        <f t="shared" si="97"/>
        <v>#VALUE!</v>
      </c>
      <c r="H96" s="513" t="e">
        <f t="shared" si="97"/>
        <v>#VALUE!</v>
      </c>
      <c r="I96" s="513" t="e">
        <f t="shared" si="97"/>
        <v>#VALUE!</v>
      </c>
      <c r="J96" s="523" t="e">
        <f t="shared" si="66"/>
        <v>#VALUE!</v>
      </c>
      <c r="K96" s="523" t="e">
        <f t="shared" si="67"/>
        <v>#VALUE!</v>
      </c>
      <c r="L96" s="523" t="e">
        <f t="shared" si="68"/>
        <v>#VALUE!</v>
      </c>
      <c r="O96" s="153"/>
      <c r="S96" s="513" t="e">
        <f t="shared" ref="S96:U96" si="98">SUM(S97:S98)</f>
        <v>#VALUE!</v>
      </c>
      <c r="T96" s="513" t="e">
        <f t="shared" si="98"/>
        <v>#VALUE!</v>
      </c>
      <c r="U96" s="513" t="e">
        <f t="shared" si="98"/>
        <v>#VALUE!</v>
      </c>
    </row>
    <row r="97" s="1" customFormat="1" ht="21.75" customHeight="1" spans="1:21">
      <c r="A97" s="514" t="s">
        <v>144</v>
      </c>
      <c r="B97" s="515">
        <v>250.682243</v>
      </c>
      <c r="C97" s="515">
        <v>250.682243</v>
      </c>
      <c r="D97" s="515">
        <v>222.637112</v>
      </c>
      <c r="E97" s="515">
        <v>28.045131</v>
      </c>
      <c r="F97" s="515"/>
      <c r="G97" s="515" t="e">
        <f t="shared" ref="G97:G100" si="99">SUM(H97:I97)</f>
        <v>#VALUE!</v>
      </c>
      <c r="H97" s="515" t="e">
        <f>SUMIFS('[16]基本支出总表（开）'!P:P,'[16]基本支出总表（开）'!C:C,MID(A97,4,7))</f>
        <v>#VALUE!</v>
      </c>
      <c r="I97" s="515" t="e">
        <f>SUMIFS('[16]项目支出总表（开）'!Y:Y,'[16]项目支出总表（开）'!C:C,MID(A97,4,7))+SUMIFS('[16]项目支出总表（开）'!Z:Z,'[16]项目支出总表（开）'!C:C,MID(A97,4,7))</f>
        <v>#VALUE!</v>
      </c>
      <c r="J97" s="524" t="e">
        <f t="shared" si="66"/>
        <v>#VALUE!</v>
      </c>
      <c r="K97" s="524" t="e">
        <f t="shared" si="67"/>
        <v>#VALUE!</v>
      </c>
      <c r="L97" s="524" t="str">
        <f t="shared" si="68"/>
        <v/>
      </c>
      <c r="O97" s="153"/>
      <c r="S97" s="515" t="e">
        <f t="shared" ref="S97:S100" si="100">SUM(T97:U97)</f>
        <v>#VALUE!</v>
      </c>
      <c r="T97" s="515" t="e">
        <f>SUMIFS('[16]基本支出总表（开）'!M:M,'[16]基本支出总表（开）'!C:C,MID(TRIM(A97),2,7))</f>
        <v>#VALUE!</v>
      </c>
      <c r="U97" s="515" t="e">
        <f>SUMIFS('[16]项目支出总表（开）'!V:V,'[16]项目支出总表（开）'!C:C,MID(TRIM(A97),2,7))</f>
        <v>#VALUE!</v>
      </c>
    </row>
    <row r="98" s="1" customFormat="1" ht="21.75" customHeight="1" spans="1:21">
      <c r="A98" s="514" t="s">
        <v>145</v>
      </c>
      <c r="B98" s="515">
        <v>345</v>
      </c>
      <c r="C98" s="515"/>
      <c r="D98" s="515"/>
      <c r="E98" s="515"/>
      <c r="F98" s="515">
        <v>345</v>
      </c>
      <c r="G98" s="515" t="e">
        <f t="shared" si="99"/>
        <v>#VALUE!</v>
      </c>
      <c r="H98" s="515" t="e">
        <f>SUMIFS('[16]基本支出总表（开）'!P:P,'[16]基本支出总表（开）'!C:C,MID(A98,4,7))</f>
        <v>#VALUE!</v>
      </c>
      <c r="I98" s="515" t="e">
        <f>SUMIFS('[16]项目支出总表（开）'!Y:Y,'[16]项目支出总表（开）'!C:C,MID(A98,4,7))+SUMIFS('[16]项目支出总表（开）'!Z:Z,'[16]项目支出总表（开）'!C:C,MID(A98,4,7))</f>
        <v>#VALUE!</v>
      </c>
      <c r="J98" s="524" t="e">
        <f t="shared" si="66"/>
        <v>#VALUE!</v>
      </c>
      <c r="K98" s="524" t="str">
        <f t="shared" si="67"/>
        <v/>
      </c>
      <c r="L98" s="524" t="e">
        <f t="shared" si="68"/>
        <v>#VALUE!</v>
      </c>
      <c r="O98" s="153"/>
      <c r="S98" s="515" t="e">
        <f t="shared" si="100"/>
        <v>#VALUE!</v>
      </c>
      <c r="T98" s="515" t="e">
        <f>SUMIFS('[16]基本支出总表（开）'!M:M,'[16]基本支出总表（开）'!C:C,MID(TRIM(A98),2,7))</f>
        <v>#VALUE!</v>
      </c>
      <c r="U98" s="515" t="e">
        <f>SUMIFS('[16]项目支出总表（开）'!V:V,'[16]项目支出总表（开）'!C:C,MID(TRIM(A98),2,7))</f>
        <v>#VALUE!</v>
      </c>
    </row>
    <row r="99" s="1" customFormat="1" ht="21.75" customHeight="1" spans="1:21">
      <c r="A99" s="512" t="s">
        <v>146</v>
      </c>
      <c r="B99" s="513">
        <f t="shared" ref="B99:I99" si="101">SUM(B100)</f>
        <v>33.4</v>
      </c>
      <c r="C99" s="513">
        <f t="shared" si="101"/>
        <v>0</v>
      </c>
      <c r="D99" s="513">
        <f t="shared" si="101"/>
        <v>0</v>
      </c>
      <c r="E99" s="513">
        <f t="shared" si="101"/>
        <v>0</v>
      </c>
      <c r="F99" s="513">
        <f t="shared" si="101"/>
        <v>33.4</v>
      </c>
      <c r="G99" s="513" t="e">
        <f t="shared" si="101"/>
        <v>#VALUE!</v>
      </c>
      <c r="H99" s="513" t="e">
        <f t="shared" si="101"/>
        <v>#VALUE!</v>
      </c>
      <c r="I99" s="513" t="e">
        <f t="shared" si="101"/>
        <v>#VALUE!</v>
      </c>
      <c r="J99" s="523" t="e">
        <f t="shared" si="66"/>
        <v>#VALUE!</v>
      </c>
      <c r="K99" s="523" t="str">
        <f t="shared" si="67"/>
        <v/>
      </c>
      <c r="L99" s="523" t="e">
        <f t="shared" si="68"/>
        <v>#VALUE!</v>
      </c>
      <c r="O99" s="153"/>
      <c r="S99" s="513" t="e">
        <f t="shared" ref="S99:U99" si="102">SUM(S100)</f>
        <v>#VALUE!</v>
      </c>
      <c r="T99" s="513" t="e">
        <f t="shared" si="102"/>
        <v>#VALUE!</v>
      </c>
      <c r="U99" s="513" t="e">
        <f t="shared" si="102"/>
        <v>#VALUE!</v>
      </c>
    </row>
    <row r="100" s="1" customFormat="1" ht="21.75" customHeight="1" spans="1:21">
      <c r="A100" s="514" t="s">
        <v>147</v>
      </c>
      <c r="B100" s="515">
        <v>33.4</v>
      </c>
      <c r="C100" s="515"/>
      <c r="D100" s="515"/>
      <c r="E100" s="515"/>
      <c r="F100" s="515">
        <v>33.4</v>
      </c>
      <c r="G100" s="515" t="e">
        <f t="shared" si="99"/>
        <v>#VALUE!</v>
      </c>
      <c r="H100" s="515" t="e">
        <f>SUMIFS('[16]基本支出总表（开）'!P:P,'[16]基本支出总表（开）'!C:C,MID(A100,4,7))</f>
        <v>#VALUE!</v>
      </c>
      <c r="I100" s="515" t="e">
        <f>SUMIFS('[16]项目支出总表（开）'!Y:Y,'[16]项目支出总表（开）'!C:C,MID(A100,4,7))+SUMIFS('[16]项目支出总表（开）'!Z:Z,'[16]项目支出总表（开）'!C:C,MID(A100,4,7))</f>
        <v>#VALUE!</v>
      </c>
      <c r="J100" s="524" t="e">
        <f t="shared" si="66"/>
        <v>#VALUE!</v>
      </c>
      <c r="K100" s="524" t="str">
        <f t="shared" si="67"/>
        <v/>
      </c>
      <c r="L100" s="524" t="e">
        <f t="shared" si="68"/>
        <v>#VALUE!</v>
      </c>
      <c r="O100" s="153"/>
      <c r="S100" s="515" t="e">
        <f t="shared" si="100"/>
        <v>#VALUE!</v>
      </c>
      <c r="T100" s="515" t="e">
        <f>SUMIFS('[16]基本支出总表（开）'!M:M,'[16]基本支出总表（开）'!C:C,MID(TRIM(A100),2,7))</f>
        <v>#VALUE!</v>
      </c>
      <c r="U100" s="515" t="e">
        <f>SUMIFS('[16]项目支出总表（开）'!V:V,'[16]项目支出总表（开）'!C:C,MID(TRIM(A100),2,7))</f>
        <v>#VALUE!</v>
      </c>
    </row>
    <row r="101" s="1" customFormat="1" ht="21.75" customHeight="1" spans="1:21">
      <c r="A101" s="512" t="s">
        <v>148</v>
      </c>
      <c r="B101" s="513">
        <f t="shared" ref="B101:I101" si="103">SUM(B102:B103)</f>
        <v>2130</v>
      </c>
      <c r="C101" s="513">
        <f t="shared" si="103"/>
        <v>0</v>
      </c>
      <c r="D101" s="513">
        <f t="shared" si="103"/>
        <v>0</v>
      </c>
      <c r="E101" s="513">
        <f t="shared" si="103"/>
        <v>0</v>
      </c>
      <c r="F101" s="513">
        <f t="shared" si="103"/>
        <v>2130</v>
      </c>
      <c r="G101" s="513" t="e">
        <f t="shared" si="103"/>
        <v>#VALUE!</v>
      </c>
      <c r="H101" s="513" t="e">
        <f t="shared" si="103"/>
        <v>#VALUE!</v>
      </c>
      <c r="I101" s="513" t="e">
        <f t="shared" si="103"/>
        <v>#VALUE!</v>
      </c>
      <c r="J101" s="523" t="e">
        <f t="shared" si="66"/>
        <v>#VALUE!</v>
      </c>
      <c r="K101" s="523" t="str">
        <f t="shared" si="67"/>
        <v/>
      </c>
      <c r="L101" s="523" t="e">
        <f t="shared" si="68"/>
        <v>#VALUE!</v>
      </c>
      <c r="O101" s="153"/>
      <c r="S101" s="513" t="e">
        <f t="shared" ref="S101:U101" si="104">SUM(S102:S103)</f>
        <v>#VALUE!</v>
      </c>
      <c r="T101" s="513" t="e">
        <f t="shared" si="104"/>
        <v>#VALUE!</v>
      </c>
      <c r="U101" s="513" t="e">
        <f t="shared" si="104"/>
        <v>#VALUE!</v>
      </c>
    </row>
    <row r="102" s="1" customFormat="1" ht="21.75" customHeight="1" spans="1:21">
      <c r="A102" s="514" t="s">
        <v>149</v>
      </c>
      <c r="B102" s="515">
        <v>1000</v>
      </c>
      <c r="C102" s="515"/>
      <c r="D102" s="515"/>
      <c r="E102" s="515"/>
      <c r="F102" s="515">
        <v>1000</v>
      </c>
      <c r="G102" s="515" t="e">
        <f t="shared" ref="G102:G109" si="105">SUM(H102:I102)</f>
        <v>#VALUE!</v>
      </c>
      <c r="H102" s="515" t="e">
        <f>SUMIFS('[16]基本支出总表（开）'!P:P,'[16]基本支出总表（开）'!C:C,MID(A102,4,7))</f>
        <v>#VALUE!</v>
      </c>
      <c r="I102" s="515" t="e">
        <f>SUMIFS('[16]项目支出总表（开）'!Y:Y,'[16]项目支出总表（开）'!C:C,MID(A102,4,7))+SUMIFS('[16]项目支出总表（开）'!Z:Z,'[16]项目支出总表（开）'!C:C,MID(A102,4,7))</f>
        <v>#VALUE!</v>
      </c>
      <c r="J102" s="524" t="e">
        <f t="shared" si="66"/>
        <v>#VALUE!</v>
      </c>
      <c r="K102" s="524" t="str">
        <f t="shared" si="67"/>
        <v/>
      </c>
      <c r="L102" s="524" t="e">
        <f t="shared" si="68"/>
        <v>#VALUE!</v>
      </c>
      <c r="O102" s="153"/>
      <c r="S102" s="515" t="e">
        <f t="shared" ref="S102:S109" si="106">SUM(T102:U102)</f>
        <v>#VALUE!</v>
      </c>
      <c r="T102" s="515" t="e">
        <f>SUMIFS('[16]基本支出总表（开）'!M:M,'[16]基本支出总表（开）'!C:C,MID(TRIM(A102),2,7))</f>
        <v>#VALUE!</v>
      </c>
      <c r="U102" s="515" t="e">
        <f>SUMIFS('[16]项目支出总表（开）'!V:V,'[16]项目支出总表（开）'!C:C,MID(TRIM(A102),2,7))</f>
        <v>#VALUE!</v>
      </c>
    </row>
    <row r="103" s="1" customFormat="1" ht="21.75" customHeight="1" spans="1:21">
      <c r="A103" s="514" t="s">
        <v>150</v>
      </c>
      <c r="B103" s="515">
        <v>1130</v>
      </c>
      <c r="C103" s="515"/>
      <c r="D103" s="515"/>
      <c r="E103" s="515"/>
      <c r="F103" s="515">
        <v>1130</v>
      </c>
      <c r="G103" s="515" t="e">
        <f t="shared" si="105"/>
        <v>#VALUE!</v>
      </c>
      <c r="H103" s="515" t="e">
        <f>SUMIFS('[16]基本支出总表（开）'!P:P,'[16]基本支出总表（开）'!C:C,MID(A103,4,7))</f>
        <v>#VALUE!</v>
      </c>
      <c r="I103" s="515" t="e">
        <f>SUMIFS('[16]项目支出总表（开）'!Y:Y,'[16]项目支出总表（开）'!C:C,MID(A103,4,7))+SUMIFS('[16]项目支出总表（开）'!Z:Z,'[16]项目支出总表（开）'!C:C,MID(A103,4,7))</f>
        <v>#VALUE!</v>
      </c>
      <c r="J103" s="524" t="e">
        <f t="shared" si="66"/>
        <v>#VALUE!</v>
      </c>
      <c r="K103" s="524" t="str">
        <f t="shared" si="67"/>
        <v/>
      </c>
      <c r="L103" s="524" t="e">
        <f t="shared" si="68"/>
        <v>#VALUE!</v>
      </c>
      <c r="O103" s="153"/>
      <c r="S103" s="515" t="e">
        <f t="shared" si="106"/>
        <v>#VALUE!</v>
      </c>
      <c r="T103" s="515" t="e">
        <f>SUMIFS('[16]基本支出总表（开）'!M:M,'[16]基本支出总表（开）'!C:C,MID(TRIM(A103),2,7))</f>
        <v>#VALUE!</v>
      </c>
      <c r="U103" s="515" t="e">
        <f>SUMIFS('[16]项目支出总表（开）'!V:V,'[16]项目支出总表（开）'!C:C,MID(TRIM(A103),2,7))</f>
        <v>#VALUE!</v>
      </c>
    </row>
    <row r="104" s="1" customFormat="1" ht="21.75" customHeight="1" spans="1:21">
      <c r="A104" s="510" t="s">
        <v>151</v>
      </c>
      <c r="B104" s="511">
        <f t="shared" ref="B104:I104" si="107">B105+B110+B114</f>
        <v>416.420797</v>
      </c>
      <c r="C104" s="511">
        <f t="shared" si="107"/>
        <v>169.320797</v>
      </c>
      <c r="D104" s="511">
        <f t="shared" si="107"/>
        <v>153.546239</v>
      </c>
      <c r="E104" s="511">
        <f t="shared" si="107"/>
        <v>15.774558</v>
      </c>
      <c r="F104" s="511">
        <f t="shared" si="107"/>
        <v>247.1</v>
      </c>
      <c r="G104" s="511" t="e">
        <f t="shared" si="107"/>
        <v>#VALUE!</v>
      </c>
      <c r="H104" s="511" t="e">
        <f t="shared" si="107"/>
        <v>#VALUE!</v>
      </c>
      <c r="I104" s="511" t="e">
        <f t="shared" si="107"/>
        <v>#VALUE!</v>
      </c>
      <c r="J104" s="522" t="e">
        <f t="shared" si="66"/>
        <v>#VALUE!</v>
      </c>
      <c r="K104" s="522" t="e">
        <f t="shared" si="67"/>
        <v>#VALUE!</v>
      </c>
      <c r="L104" s="522" t="e">
        <f t="shared" si="68"/>
        <v>#VALUE!</v>
      </c>
      <c r="O104" s="153"/>
      <c r="S104" s="511" t="e">
        <f t="shared" ref="S104:U104" si="108">S105+S110+S114</f>
        <v>#VALUE!</v>
      </c>
      <c r="T104" s="511" t="e">
        <f t="shared" si="108"/>
        <v>#VALUE!</v>
      </c>
      <c r="U104" s="511" t="e">
        <f t="shared" si="108"/>
        <v>#VALUE!</v>
      </c>
    </row>
    <row r="105" s="1" customFormat="1" ht="21.75" customHeight="1" spans="1:21">
      <c r="A105" s="512" t="s">
        <v>152</v>
      </c>
      <c r="B105" s="513">
        <f t="shared" ref="B105:I105" si="109">SUM(B106:B109)</f>
        <v>329.420797</v>
      </c>
      <c r="C105" s="513">
        <f t="shared" si="109"/>
        <v>169.320797</v>
      </c>
      <c r="D105" s="513">
        <f t="shared" si="109"/>
        <v>153.546239</v>
      </c>
      <c r="E105" s="513">
        <f t="shared" si="109"/>
        <v>15.774558</v>
      </c>
      <c r="F105" s="513">
        <f t="shared" si="109"/>
        <v>160.1</v>
      </c>
      <c r="G105" s="513" t="e">
        <f t="shared" si="109"/>
        <v>#VALUE!</v>
      </c>
      <c r="H105" s="513" t="e">
        <f t="shared" si="109"/>
        <v>#VALUE!</v>
      </c>
      <c r="I105" s="513" t="e">
        <f t="shared" si="109"/>
        <v>#VALUE!</v>
      </c>
      <c r="J105" s="523" t="e">
        <f t="shared" si="66"/>
        <v>#VALUE!</v>
      </c>
      <c r="K105" s="523" t="e">
        <f t="shared" si="67"/>
        <v>#VALUE!</v>
      </c>
      <c r="L105" s="523" t="e">
        <f t="shared" si="68"/>
        <v>#VALUE!</v>
      </c>
      <c r="O105" s="153"/>
      <c r="S105" s="513" t="e">
        <f t="shared" ref="S105:U105" si="110">SUM(S106:S109)</f>
        <v>#VALUE!</v>
      </c>
      <c r="T105" s="513" t="e">
        <f t="shared" si="110"/>
        <v>#VALUE!</v>
      </c>
      <c r="U105" s="513" t="e">
        <f t="shared" si="110"/>
        <v>#VALUE!</v>
      </c>
    </row>
    <row r="106" s="1" customFormat="1" ht="21.75" customHeight="1" spans="1:21">
      <c r="A106" s="514" t="s">
        <v>153</v>
      </c>
      <c r="B106" s="515">
        <v>169.320797</v>
      </c>
      <c r="C106" s="515">
        <v>169.320797</v>
      </c>
      <c r="D106" s="515">
        <v>153.546239</v>
      </c>
      <c r="E106" s="515">
        <v>15.774558</v>
      </c>
      <c r="F106" s="515"/>
      <c r="G106" s="515" t="e">
        <f t="shared" si="105"/>
        <v>#VALUE!</v>
      </c>
      <c r="H106" s="515" t="e">
        <f>SUMIFS('[16]基本支出总表（开）'!P:P,'[16]基本支出总表（开）'!C:C,MID(A106,4,7))</f>
        <v>#VALUE!</v>
      </c>
      <c r="I106" s="515" t="e">
        <f>SUMIFS('[16]项目支出总表（开）'!Y:Y,'[16]项目支出总表（开）'!C:C,MID(A106,4,7))+SUMIFS('[16]项目支出总表（开）'!Z:Z,'[16]项目支出总表（开）'!C:C,MID(A106,4,7))</f>
        <v>#VALUE!</v>
      </c>
      <c r="J106" s="524" t="e">
        <f t="shared" si="66"/>
        <v>#VALUE!</v>
      </c>
      <c r="K106" s="524" t="e">
        <f t="shared" si="67"/>
        <v>#VALUE!</v>
      </c>
      <c r="L106" s="524" t="str">
        <f t="shared" si="68"/>
        <v/>
      </c>
      <c r="O106" s="153"/>
      <c r="S106" s="515" t="e">
        <f t="shared" si="106"/>
        <v>#VALUE!</v>
      </c>
      <c r="T106" s="515" t="e">
        <f>SUMIFS('[16]基本支出总表（开）'!M:M,'[16]基本支出总表（开）'!C:C,MID(TRIM(A106),2,7))</f>
        <v>#VALUE!</v>
      </c>
      <c r="U106" s="515" t="e">
        <f>SUMIFS('[16]项目支出总表（开）'!V:V,'[16]项目支出总表（开）'!C:C,MID(TRIM(A106),2,7))</f>
        <v>#VALUE!</v>
      </c>
    </row>
    <row r="107" s="1" customFormat="1" ht="21.75" customHeight="1" spans="1:21">
      <c r="A107" s="516" t="s">
        <v>154</v>
      </c>
      <c r="B107" s="515"/>
      <c r="C107" s="515"/>
      <c r="D107" s="515"/>
      <c r="E107" s="515"/>
      <c r="F107" s="515"/>
      <c r="G107" s="515" t="e">
        <f t="shared" si="105"/>
        <v>#VALUE!</v>
      </c>
      <c r="H107" s="515" t="e">
        <f>SUMIFS('[16]基本支出总表（开）'!P:P,'[16]基本支出总表（开）'!C:C,MID(A107,4,7))</f>
        <v>#VALUE!</v>
      </c>
      <c r="I107" s="515" t="e">
        <f>SUMIFS('[16]项目支出总表（开）'!Y:Y,'[16]项目支出总表（开）'!C:C,MID(A107,4,7))+SUMIFS('[16]项目支出总表（开）'!Z:Z,'[16]项目支出总表（开）'!C:C,MID(A107,4,7))</f>
        <v>#VALUE!</v>
      </c>
      <c r="J107" s="524" t="str">
        <f t="shared" si="66"/>
        <v/>
      </c>
      <c r="K107" s="524" t="str">
        <f t="shared" si="67"/>
        <v/>
      </c>
      <c r="L107" s="524" t="str">
        <f t="shared" si="68"/>
        <v/>
      </c>
      <c r="O107" s="153"/>
      <c r="S107" s="515" t="e">
        <f t="shared" si="106"/>
        <v>#VALUE!</v>
      </c>
      <c r="T107" s="515" t="e">
        <f>SUMIFS('[16]基本支出总表（开）'!M:M,'[16]基本支出总表（开）'!C:C,MID(TRIM(A107),2,7))</f>
        <v>#VALUE!</v>
      </c>
      <c r="U107" s="515" t="e">
        <f>SUMIFS('[16]项目支出总表（开）'!V:V,'[16]项目支出总表（开）'!C:C,MID(TRIM(A107),2,7))</f>
        <v>#VALUE!</v>
      </c>
    </row>
    <row r="108" s="1" customFormat="1" ht="21.75" customHeight="1" spans="1:21">
      <c r="A108" s="514" t="s">
        <v>155</v>
      </c>
      <c r="B108" s="515">
        <v>87.54</v>
      </c>
      <c r="C108" s="515"/>
      <c r="D108" s="515"/>
      <c r="E108" s="515"/>
      <c r="F108" s="515">
        <v>87.54</v>
      </c>
      <c r="G108" s="515" t="e">
        <f t="shared" si="105"/>
        <v>#VALUE!</v>
      </c>
      <c r="H108" s="515" t="e">
        <f>SUMIFS('[16]基本支出总表（开）'!P:P,'[16]基本支出总表（开）'!C:C,MID(A108,4,7))</f>
        <v>#VALUE!</v>
      </c>
      <c r="I108" s="515" t="e">
        <f>SUMIFS('[16]项目支出总表（开）'!Y:Y,'[16]项目支出总表（开）'!C:C,MID(A108,4,7))+SUMIFS('[16]项目支出总表（开）'!Z:Z,'[16]项目支出总表（开）'!C:C,MID(A108,4,7))</f>
        <v>#VALUE!</v>
      </c>
      <c r="J108" s="524" t="e">
        <f t="shared" si="66"/>
        <v>#VALUE!</v>
      </c>
      <c r="K108" s="524" t="str">
        <f t="shared" si="67"/>
        <v/>
      </c>
      <c r="L108" s="524" t="e">
        <f t="shared" si="68"/>
        <v>#VALUE!</v>
      </c>
      <c r="O108" s="153"/>
      <c r="S108" s="515" t="e">
        <f t="shared" si="106"/>
        <v>#VALUE!</v>
      </c>
      <c r="T108" s="515" t="e">
        <f>SUMIFS('[16]基本支出总表（开）'!M:M,'[16]基本支出总表（开）'!C:C,MID(TRIM(A108),2,7))</f>
        <v>#VALUE!</v>
      </c>
      <c r="U108" s="515" t="e">
        <f>SUMIFS('[16]项目支出总表（开）'!V:V,'[16]项目支出总表（开）'!C:C,MID(TRIM(A108),2,7))</f>
        <v>#VALUE!</v>
      </c>
    </row>
    <row r="109" s="1" customFormat="1" ht="21.75" customHeight="1" spans="1:21">
      <c r="A109" s="514" t="s">
        <v>156</v>
      </c>
      <c r="B109" s="515">
        <v>72.56</v>
      </c>
      <c r="C109" s="515"/>
      <c r="D109" s="515"/>
      <c r="E109" s="515"/>
      <c r="F109" s="515">
        <v>72.56</v>
      </c>
      <c r="G109" s="515" t="e">
        <f t="shared" si="105"/>
        <v>#VALUE!</v>
      </c>
      <c r="H109" s="515" t="e">
        <f>SUMIFS('[16]基本支出总表（开）'!P:P,'[16]基本支出总表（开）'!C:C,MID(A109,4,7))</f>
        <v>#VALUE!</v>
      </c>
      <c r="I109" s="515" t="e">
        <f>SUMIFS('[16]项目支出总表（开）'!Y:Y,'[16]项目支出总表（开）'!C:C,MID(A109,4,7))+SUMIFS('[16]项目支出总表（开）'!Z:Z,'[16]项目支出总表（开）'!C:C,MID(A109,4,7))</f>
        <v>#VALUE!</v>
      </c>
      <c r="J109" s="524" t="e">
        <f t="shared" si="66"/>
        <v>#VALUE!</v>
      </c>
      <c r="K109" s="524" t="str">
        <f t="shared" si="67"/>
        <v/>
      </c>
      <c r="L109" s="524" t="e">
        <f t="shared" si="68"/>
        <v>#VALUE!</v>
      </c>
      <c r="O109" s="153"/>
      <c r="S109" s="515" t="e">
        <f t="shared" si="106"/>
        <v>#VALUE!</v>
      </c>
      <c r="T109" s="515" t="e">
        <f>SUMIFS('[16]基本支出总表（开）'!M:M,'[16]基本支出总表（开）'!C:C,MID(TRIM(A109),2,7))</f>
        <v>#VALUE!</v>
      </c>
      <c r="U109" s="515" t="e">
        <f>SUMIFS('[16]项目支出总表（开）'!V:V,'[16]项目支出总表（开）'!C:C,MID(TRIM(A109),2,7))</f>
        <v>#VALUE!</v>
      </c>
    </row>
    <row r="110" s="1" customFormat="1" ht="21.75" customHeight="1" spans="1:21">
      <c r="A110" s="512" t="s">
        <v>157</v>
      </c>
      <c r="B110" s="513">
        <f t="shared" ref="B110:I110" si="111">SUM(B111:B113)</f>
        <v>77</v>
      </c>
      <c r="C110" s="513">
        <f t="shared" si="111"/>
        <v>0</v>
      </c>
      <c r="D110" s="513">
        <f t="shared" si="111"/>
        <v>0</v>
      </c>
      <c r="E110" s="513">
        <f t="shared" si="111"/>
        <v>0</v>
      </c>
      <c r="F110" s="513">
        <f t="shared" si="111"/>
        <v>77</v>
      </c>
      <c r="G110" s="513" t="e">
        <f t="shared" si="111"/>
        <v>#VALUE!</v>
      </c>
      <c r="H110" s="513" t="e">
        <f t="shared" si="111"/>
        <v>#VALUE!</v>
      </c>
      <c r="I110" s="513" t="e">
        <f t="shared" si="111"/>
        <v>#VALUE!</v>
      </c>
      <c r="J110" s="523" t="e">
        <f t="shared" si="66"/>
        <v>#VALUE!</v>
      </c>
      <c r="K110" s="523" t="str">
        <f t="shared" si="67"/>
        <v/>
      </c>
      <c r="L110" s="523" t="e">
        <f t="shared" si="68"/>
        <v>#VALUE!</v>
      </c>
      <c r="O110" s="153"/>
      <c r="S110" s="513" t="e">
        <f t="shared" ref="S110:U110" si="112">SUM(S111:S113)</f>
        <v>#VALUE!</v>
      </c>
      <c r="T110" s="513" t="e">
        <f t="shared" si="112"/>
        <v>#VALUE!</v>
      </c>
      <c r="U110" s="513" t="e">
        <f t="shared" si="112"/>
        <v>#VALUE!</v>
      </c>
    </row>
    <row r="111" s="1" customFormat="1" ht="21.75" customHeight="1" spans="1:21">
      <c r="A111" s="516" t="s">
        <v>158</v>
      </c>
      <c r="B111" s="515"/>
      <c r="C111" s="515"/>
      <c r="D111" s="515"/>
      <c r="E111" s="515"/>
      <c r="F111" s="515"/>
      <c r="G111" s="515" t="e">
        <f t="shared" ref="G111:G113" si="113">SUM(H111:I111)</f>
        <v>#VALUE!</v>
      </c>
      <c r="H111" s="515" t="e">
        <f>SUMIFS('[16]基本支出总表（开）'!P:P,'[16]基本支出总表（开）'!C:C,MID(A111,4,7))</f>
        <v>#VALUE!</v>
      </c>
      <c r="I111" s="515" t="e">
        <f>SUMIFS('[16]项目支出总表（开）'!Y:Y,'[16]项目支出总表（开）'!C:C,MID(A111,4,7))+SUMIFS('[16]项目支出总表（开）'!Z:Z,'[16]项目支出总表（开）'!C:C,MID(A111,4,7))</f>
        <v>#VALUE!</v>
      </c>
      <c r="J111" s="524" t="str">
        <f t="shared" si="66"/>
        <v/>
      </c>
      <c r="K111" s="524" t="str">
        <f t="shared" si="67"/>
        <v/>
      </c>
      <c r="L111" s="524" t="str">
        <f t="shared" si="68"/>
        <v/>
      </c>
      <c r="O111" s="153"/>
      <c r="S111" s="515" t="e">
        <f t="shared" ref="S111:S113" si="114">SUM(T111:U111)</f>
        <v>#VALUE!</v>
      </c>
      <c r="T111" s="515" t="e">
        <f>SUMIFS('[16]基本支出总表（开）'!M:M,'[16]基本支出总表（开）'!C:C,MID(TRIM(A111),2,7))</f>
        <v>#VALUE!</v>
      </c>
      <c r="U111" s="515" t="e">
        <f>SUMIFS('[16]项目支出总表（开）'!V:V,'[16]项目支出总表（开）'!C:C,MID(TRIM(A111),2,7))</f>
        <v>#VALUE!</v>
      </c>
    </row>
    <row r="112" s="1" customFormat="1" ht="21.75" customHeight="1" spans="1:21">
      <c r="A112" s="516" t="s">
        <v>159</v>
      </c>
      <c r="B112" s="515"/>
      <c r="C112" s="515"/>
      <c r="D112" s="515"/>
      <c r="E112" s="515"/>
      <c r="F112" s="515"/>
      <c r="G112" s="515" t="e">
        <f t="shared" si="113"/>
        <v>#VALUE!</v>
      </c>
      <c r="H112" s="515" t="e">
        <f>SUMIFS('[16]基本支出总表（开）'!P:P,'[16]基本支出总表（开）'!C:C,MID(A112,4,7))</f>
        <v>#VALUE!</v>
      </c>
      <c r="I112" s="515" t="e">
        <f>SUMIFS('[16]项目支出总表（开）'!Y:Y,'[16]项目支出总表（开）'!C:C,MID(A112,4,7))+SUMIFS('[16]项目支出总表（开）'!Z:Z,'[16]项目支出总表（开）'!C:C,MID(A112,4,7))</f>
        <v>#VALUE!</v>
      </c>
      <c r="J112" s="524" t="str">
        <f t="shared" si="66"/>
        <v/>
      </c>
      <c r="K112" s="524" t="str">
        <f t="shared" si="67"/>
        <v/>
      </c>
      <c r="L112" s="524" t="str">
        <f t="shared" si="68"/>
        <v/>
      </c>
      <c r="O112" s="153"/>
      <c r="S112" s="515" t="e">
        <f t="shared" si="114"/>
        <v>#VALUE!</v>
      </c>
      <c r="T112" s="515" t="e">
        <f>SUMIFS('[16]基本支出总表（开）'!M:M,'[16]基本支出总表（开）'!C:C,MID(TRIM(A112),2,7))</f>
        <v>#VALUE!</v>
      </c>
      <c r="U112" s="515" t="e">
        <f>SUMIFS('[16]项目支出总表（开）'!V:V,'[16]项目支出总表（开）'!C:C,MID(TRIM(A112),2,7))</f>
        <v>#VALUE!</v>
      </c>
    </row>
    <row r="113" s="1" customFormat="1" ht="21.75" customHeight="1" spans="1:21">
      <c r="A113" s="514" t="s">
        <v>160</v>
      </c>
      <c r="B113" s="515">
        <v>77</v>
      </c>
      <c r="C113" s="515"/>
      <c r="D113" s="515"/>
      <c r="E113" s="515"/>
      <c r="F113" s="515">
        <v>77</v>
      </c>
      <c r="G113" s="515" t="e">
        <f t="shared" si="113"/>
        <v>#VALUE!</v>
      </c>
      <c r="H113" s="515" t="e">
        <f>SUMIFS('[16]基本支出总表（开）'!P:P,'[16]基本支出总表（开）'!C:C,MID(A113,4,7))</f>
        <v>#VALUE!</v>
      </c>
      <c r="I113" s="515" t="e">
        <f>SUMIFS('[16]项目支出总表（开）'!Y:Y,'[16]项目支出总表（开）'!C:C,MID(A113,4,7))+SUMIFS('[16]项目支出总表（开）'!Z:Z,'[16]项目支出总表（开）'!C:C,MID(A113,4,7))</f>
        <v>#VALUE!</v>
      </c>
      <c r="J113" s="524" t="e">
        <f t="shared" si="66"/>
        <v>#VALUE!</v>
      </c>
      <c r="K113" s="524" t="str">
        <f t="shared" si="67"/>
        <v/>
      </c>
      <c r="L113" s="524" t="e">
        <f t="shared" si="68"/>
        <v>#VALUE!</v>
      </c>
      <c r="O113" s="153"/>
      <c r="S113" s="515" t="e">
        <f t="shared" si="114"/>
        <v>#VALUE!</v>
      </c>
      <c r="T113" s="515" t="e">
        <f>SUMIFS('[16]基本支出总表（开）'!M:M,'[16]基本支出总表（开）'!C:C,MID(TRIM(A113),2,7))</f>
        <v>#VALUE!</v>
      </c>
      <c r="U113" s="515" t="e">
        <f>SUMIFS('[16]项目支出总表（开）'!V:V,'[16]项目支出总表（开）'!C:C,MID(TRIM(A113),2,7))</f>
        <v>#VALUE!</v>
      </c>
    </row>
    <row r="114" s="1" customFormat="1" ht="21.75" customHeight="1" spans="1:21">
      <c r="A114" s="512" t="s">
        <v>161</v>
      </c>
      <c r="B114" s="513">
        <f t="shared" ref="B114:I114" si="115">SUM(B115)</f>
        <v>10</v>
      </c>
      <c r="C114" s="513">
        <f t="shared" si="115"/>
        <v>0</v>
      </c>
      <c r="D114" s="513">
        <f t="shared" si="115"/>
        <v>0</v>
      </c>
      <c r="E114" s="513">
        <f t="shared" si="115"/>
        <v>0</v>
      </c>
      <c r="F114" s="513">
        <f t="shared" si="115"/>
        <v>10</v>
      </c>
      <c r="G114" s="513" t="e">
        <f t="shared" si="115"/>
        <v>#VALUE!</v>
      </c>
      <c r="H114" s="513" t="e">
        <f t="shared" si="115"/>
        <v>#VALUE!</v>
      </c>
      <c r="I114" s="513" t="e">
        <f t="shared" si="115"/>
        <v>#VALUE!</v>
      </c>
      <c r="J114" s="523" t="e">
        <f t="shared" si="66"/>
        <v>#VALUE!</v>
      </c>
      <c r="K114" s="523" t="str">
        <f t="shared" si="67"/>
        <v/>
      </c>
      <c r="L114" s="523" t="e">
        <f t="shared" si="68"/>
        <v>#VALUE!</v>
      </c>
      <c r="O114" s="153"/>
      <c r="S114" s="513" t="e">
        <f t="shared" ref="S114:U114" si="116">SUM(S115)</f>
        <v>#VALUE!</v>
      </c>
      <c r="T114" s="513" t="e">
        <f t="shared" si="116"/>
        <v>#VALUE!</v>
      </c>
      <c r="U114" s="513" t="e">
        <f t="shared" si="116"/>
        <v>#VALUE!</v>
      </c>
    </row>
    <row r="115" s="1" customFormat="1" ht="21.75" customHeight="1" spans="1:21">
      <c r="A115" s="514" t="s">
        <v>162</v>
      </c>
      <c r="B115" s="515">
        <v>10</v>
      </c>
      <c r="C115" s="515"/>
      <c r="D115" s="515"/>
      <c r="E115" s="515"/>
      <c r="F115" s="515">
        <v>10</v>
      </c>
      <c r="G115" s="515" t="e">
        <f t="shared" ref="G115:G121" si="117">SUM(H115:I115)</f>
        <v>#VALUE!</v>
      </c>
      <c r="H115" s="515" t="e">
        <f>SUMIFS('[16]基本支出总表（开）'!P:P,'[16]基本支出总表（开）'!C:C,MID(A115,4,7))</f>
        <v>#VALUE!</v>
      </c>
      <c r="I115" s="515" t="e">
        <f>SUMIFS('[16]项目支出总表（开）'!Y:Y,'[16]项目支出总表（开）'!C:C,MID(A115,4,7))+SUMIFS('[16]项目支出总表（开）'!Z:Z,'[16]项目支出总表（开）'!C:C,MID(A115,4,7))</f>
        <v>#VALUE!</v>
      </c>
      <c r="J115" s="524" t="e">
        <f t="shared" si="66"/>
        <v>#VALUE!</v>
      </c>
      <c r="K115" s="524" t="str">
        <f t="shared" si="67"/>
        <v/>
      </c>
      <c r="L115" s="524" t="e">
        <f t="shared" si="68"/>
        <v>#VALUE!</v>
      </c>
      <c r="O115" s="153"/>
      <c r="S115" s="515" t="e">
        <f t="shared" ref="S115:S121" si="118">SUM(T115:U115)</f>
        <v>#VALUE!</v>
      </c>
      <c r="T115" s="515" t="e">
        <f>SUMIFS('[16]基本支出总表（开）'!M:M,'[16]基本支出总表（开）'!C:C,MID(TRIM(A115),2,7))</f>
        <v>#VALUE!</v>
      </c>
      <c r="U115" s="515" t="e">
        <f>SUMIFS('[16]项目支出总表（开）'!V:V,'[16]项目支出总表（开）'!C:C,MID(TRIM(A115),2,7))</f>
        <v>#VALUE!</v>
      </c>
    </row>
    <row r="116" s="1" customFormat="1" ht="21.75" customHeight="1" spans="1:21">
      <c r="A116" s="510" t="s">
        <v>163</v>
      </c>
      <c r="B116" s="511">
        <f t="shared" ref="B116:I116" si="119">B117+B122+B126+B129+B132+B136+B139+B143+B149+B151+B153+B155+B162+B160</f>
        <v>18687.136466</v>
      </c>
      <c r="C116" s="511">
        <f t="shared" si="119"/>
        <v>913.636466</v>
      </c>
      <c r="D116" s="511">
        <f t="shared" si="119"/>
        <v>830.785885</v>
      </c>
      <c r="E116" s="511">
        <f t="shared" si="119"/>
        <v>82.850581</v>
      </c>
      <c r="F116" s="511">
        <f t="shared" si="119"/>
        <v>17773.5</v>
      </c>
      <c r="G116" s="511" t="e">
        <f t="shared" si="119"/>
        <v>#VALUE!</v>
      </c>
      <c r="H116" s="511" t="e">
        <f t="shared" si="119"/>
        <v>#VALUE!</v>
      </c>
      <c r="I116" s="511" t="e">
        <f t="shared" si="119"/>
        <v>#VALUE!</v>
      </c>
      <c r="J116" s="522" t="e">
        <f t="shared" si="66"/>
        <v>#VALUE!</v>
      </c>
      <c r="K116" s="522" t="e">
        <f t="shared" si="67"/>
        <v>#VALUE!</v>
      </c>
      <c r="L116" s="522" t="e">
        <f t="shared" si="68"/>
        <v>#VALUE!</v>
      </c>
      <c r="O116" s="153"/>
      <c r="S116" s="511" t="e">
        <f t="shared" ref="S116:U116" si="120">S117+S122+S126+S129+S132+S136+S139+S143+S149+S151+S153+S155+S162+S160</f>
        <v>#VALUE!</v>
      </c>
      <c r="T116" s="511" t="e">
        <f t="shared" si="120"/>
        <v>#VALUE!</v>
      </c>
      <c r="U116" s="511" t="e">
        <f t="shared" si="120"/>
        <v>#VALUE!</v>
      </c>
    </row>
    <row r="117" s="1" customFormat="1" ht="21.75" customHeight="1" spans="1:21">
      <c r="A117" s="512" t="s">
        <v>164</v>
      </c>
      <c r="B117" s="513">
        <f t="shared" ref="B117:I117" si="121">SUM(B118:B121)</f>
        <v>4315.72208</v>
      </c>
      <c r="C117" s="513">
        <f t="shared" si="121"/>
        <v>500.42208</v>
      </c>
      <c r="D117" s="513">
        <f t="shared" si="121"/>
        <v>454.544541</v>
      </c>
      <c r="E117" s="513">
        <f t="shared" si="121"/>
        <v>45.877539</v>
      </c>
      <c r="F117" s="513">
        <f t="shared" si="121"/>
        <v>3815.3</v>
      </c>
      <c r="G117" s="513" t="e">
        <f t="shared" si="121"/>
        <v>#VALUE!</v>
      </c>
      <c r="H117" s="513" t="e">
        <f t="shared" si="121"/>
        <v>#VALUE!</v>
      </c>
      <c r="I117" s="513" t="e">
        <f t="shared" si="121"/>
        <v>#VALUE!</v>
      </c>
      <c r="J117" s="523" t="e">
        <f t="shared" si="66"/>
        <v>#VALUE!</v>
      </c>
      <c r="K117" s="523" t="e">
        <f t="shared" si="67"/>
        <v>#VALUE!</v>
      </c>
      <c r="L117" s="523" t="e">
        <f t="shared" si="68"/>
        <v>#VALUE!</v>
      </c>
      <c r="O117" s="153"/>
      <c r="S117" s="513" t="e">
        <f t="shared" ref="S117:U117" si="122">SUM(S118:S121)</f>
        <v>#VALUE!</v>
      </c>
      <c r="T117" s="513" t="e">
        <f t="shared" si="122"/>
        <v>#VALUE!</v>
      </c>
      <c r="U117" s="513" t="e">
        <f t="shared" si="122"/>
        <v>#VALUE!</v>
      </c>
    </row>
    <row r="118" s="1" customFormat="1" ht="21.75" customHeight="1" spans="1:21">
      <c r="A118" s="514" t="s">
        <v>165</v>
      </c>
      <c r="B118" s="515">
        <v>416.90164</v>
      </c>
      <c r="C118" s="515">
        <v>416.90164</v>
      </c>
      <c r="D118" s="515">
        <v>378.341961</v>
      </c>
      <c r="E118" s="515">
        <v>38.559679</v>
      </c>
      <c r="F118" s="515"/>
      <c r="G118" s="515" t="e">
        <f t="shared" si="117"/>
        <v>#VALUE!</v>
      </c>
      <c r="H118" s="515" t="e">
        <f>SUMIFS('[16]基本支出总表（开）'!P:P,'[16]基本支出总表（开）'!C:C,MID(A118,4,7))</f>
        <v>#VALUE!</v>
      </c>
      <c r="I118" s="515" t="e">
        <f>SUMIFS('[16]项目支出总表（开）'!Y:Y,'[16]项目支出总表（开）'!C:C,MID(A118,4,7))+SUMIFS('[16]项目支出总表（开）'!Z:Z,'[16]项目支出总表（开）'!C:C,MID(A118,4,7))</f>
        <v>#VALUE!</v>
      </c>
      <c r="J118" s="524" t="e">
        <f t="shared" si="66"/>
        <v>#VALUE!</v>
      </c>
      <c r="K118" s="524" t="e">
        <f t="shared" si="67"/>
        <v>#VALUE!</v>
      </c>
      <c r="L118" s="524" t="str">
        <f t="shared" si="68"/>
        <v/>
      </c>
      <c r="O118" s="153"/>
      <c r="S118" s="515" t="e">
        <f t="shared" si="118"/>
        <v>#VALUE!</v>
      </c>
      <c r="T118" s="515" t="e">
        <f>SUMIFS('[16]基本支出总表（开）'!M:M,'[16]基本支出总表（开）'!C:C,MID(TRIM(A118),2,7))</f>
        <v>#VALUE!</v>
      </c>
      <c r="U118" s="515" t="e">
        <f>SUMIFS('[16]项目支出总表（开）'!V:V,'[16]项目支出总表（开）'!C:C,MID(TRIM(A118),2,7))</f>
        <v>#VALUE!</v>
      </c>
    </row>
    <row r="119" s="1" customFormat="1" ht="21.75" customHeight="1" spans="1:21">
      <c r="A119" s="514" t="s">
        <v>166</v>
      </c>
      <c r="B119" s="515">
        <v>498.3</v>
      </c>
      <c r="C119" s="515"/>
      <c r="D119" s="515"/>
      <c r="E119" s="515"/>
      <c r="F119" s="515">
        <v>498.3</v>
      </c>
      <c r="G119" s="515" t="e">
        <f t="shared" si="117"/>
        <v>#VALUE!</v>
      </c>
      <c r="H119" s="515" t="e">
        <f>SUMIFS('[16]基本支出总表（开）'!P:P,'[16]基本支出总表（开）'!C:C,MID(A119,4,7))</f>
        <v>#VALUE!</v>
      </c>
      <c r="I119" s="515" t="e">
        <f>SUMIFS('[16]项目支出总表（开）'!Y:Y,'[16]项目支出总表（开）'!C:C,MID(A119,4,7))+SUMIFS('[16]项目支出总表（开）'!Z:Z,'[16]项目支出总表（开）'!C:C,MID(A119,4,7))</f>
        <v>#VALUE!</v>
      </c>
      <c r="J119" s="524" t="e">
        <f t="shared" si="66"/>
        <v>#VALUE!</v>
      </c>
      <c r="K119" s="524" t="str">
        <f t="shared" si="67"/>
        <v/>
      </c>
      <c r="L119" s="524" t="e">
        <f t="shared" si="68"/>
        <v>#VALUE!</v>
      </c>
      <c r="O119" s="153"/>
      <c r="S119" s="515" t="e">
        <f t="shared" si="118"/>
        <v>#VALUE!</v>
      </c>
      <c r="T119" s="515" t="e">
        <f>SUMIFS('[16]基本支出总表（开）'!M:M,'[16]基本支出总表（开）'!C:C,MID(TRIM(A119),2,7))</f>
        <v>#VALUE!</v>
      </c>
      <c r="U119" s="515" t="e">
        <f>SUMIFS('[16]项目支出总表（开）'!V:V,'[16]项目支出总表（开）'!C:C,MID(TRIM(A119),2,7))</f>
        <v>#VALUE!</v>
      </c>
    </row>
    <row r="120" s="1" customFormat="1" ht="21.75" customHeight="1" spans="1:21">
      <c r="A120" s="514" t="s">
        <v>167</v>
      </c>
      <c r="B120" s="515">
        <v>83.52044</v>
      </c>
      <c r="C120" s="515">
        <v>83.52044</v>
      </c>
      <c r="D120" s="515">
        <v>76.20258</v>
      </c>
      <c r="E120" s="515">
        <v>7.31786</v>
      </c>
      <c r="F120" s="515"/>
      <c r="G120" s="515" t="e">
        <f t="shared" si="117"/>
        <v>#VALUE!</v>
      </c>
      <c r="H120" s="515" t="e">
        <f>SUMIFS('[16]基本支出总表（开）'!P:P,'[16]基本支出总表（开）'!C:C,MID(A120,4,7))</f>
        <v>#VALUE!</v>
      </c>
      <c r="I120" s="515" t="e">
        <f>SUMIFS('[16]项目支出总表（开）'!Y:Y,'[16]项目支出总表（开）'!C:C,MID(A120,4,7))+SUMIFS('[16]项目支出总表（开）'!Z:Z,'[16]项目支出总表（开）'!C:C,MID(A120,4,7))</f>
        <v>#VALUE!</v>
      </c>
      <c r="J120" s="524" t="e">
        <f t="shared" si="66"/>
        <v>#VALUE!</v>
      </c>
      <c r="K120" s="524" t="e">
        <f t="shared" si="67"/>
        <v>#VALUE!</v>
      </c>
      <c r="L120" s="524" t="str">
        <f t="shared" si="68"/>
        <v/>
      </c>
      <c r="O120" s="153"/>
      <c r="S120" s="515" t="e">
        <f t="shared" si="118"/>
        <v>#VALUE!</v>
      </c>
      <c r="T120" s="515" t="e">
        <f>SUMIFS('[16]基本支出总表（开）'!M:M,'[16]基本支出总表（开）'!C:C,MID(TRIM(A120),2,7))</f>
        <v>#VALUE!</v>
      </c>
      <c r="U120" s="515" t="e">
        <f>SUMIFS('[16]项目支出总表（开）'!V:V,'[16]项目支出总表（开）'!C:C,MID(TRIM(A120),2,7))</f>
        <v>#VALUE!</v>
      </c>
    </row>
    <row r="121" s="1" customFormat="1" ht="21.75" customHeight="1" spans="1:21">
      <c r="A121" s="514" t="s">
        <v>168</v>
      </c>
      <c r="B121" s="515">
        <v>3317</v>
      </c>
      <c r="C121" s="515"/>
      <c r="D121" s="515"/>
      <c r="E121" s="515"/>
      <c r="F121" s="515">
        <v>3317</v>
      </c>
      <c r="G121" s="515" t="e">
        <f t="shared" si="117"/>
        <v>#VALUE!</v>
      </c>
      <c r="H121" s="515" t="e">
        <f>SUMIFS('[16]基本支出总表（开）'!P:P,'[16]基本支出总表（开）'!C:C,MID(A121,4,7))</f>
        <v>#VALUE!</v>
      </c>
      <c r="I121" s="515" t="e">
        <f>SUMIFS('[16]项目支出总表（开）'!Y:Y,'[16]项目支出总表（开）'!C:C,MID(A121,4,7))+SUMIFS('[16]项目支出总表（开）'!Z:Z,'[16]项目支出总表（开）'!C:C,MID(A121,4,7))</f>
        <v>#VALUE!</v>
      </c>
      <c r="J121" s="524" t="e">
        <f t="shared" si="66"/>
        <v>#VALUE!</v>
      </c>
      <c r="K121" s="524" t="str">
        <f t="shared" si="67"/>
        <v/>
      </c>
      <c r="L121" s="524" t="e">
        <f t="shared" si="68"/>
        <v>#VALUE!</v>
      </c>
      <c r="O121" s="153"/>
      <c r="S121" s="515" t="e">
        <f t="shared" si="118"/>
        <v>#VALUE!</v>
      </c>
      <c r="T121" s="515" t="e">
        <f>SUMIFS('[16]基本支出总表（开）'!M:M,'[16]基本支出总表（开）'!C:C,MID(TRIM(A121),2,7))</f>
        <v>#VALUE!</v>
      </c>
      <c r="U121" s="515" t="e">
        <f>SUMIFS('[16]项目支出总表（开）'!V:V,'[16]项目支出总表（开）'!C:C,MID(TRIM(A121),2,7))</f>
        <v>#VALUE!</v>
      </c>
    </row>
    <row r="122" s="1" customFormat="1" ht="21.75" customHeight="1" spans="1:21">
      <c r="A122" s="512" t="s">
        <v>169</v>
      </c>
      <c r="B122" s="513">
        <f t="shared" ref="B122:I122" si="123">SUM(B123:B125)</f>
        <v>951.885933</v>
      </c>
      <c r="C122" s="513">
        <f t="shared" si="123"/>
        <v>244.685933</v>
      </c>
      <c r="D122" s="513">
        <f t="shared" si="123"/>
        <v>225.355912</v>
      </c>
      <c r="E122" s="513">
        <f t="shared" si="123"/>
        <v>19.330021</v>
      </c>
      <c r="F122" s="513">
        <f t="shared" si="123"/>
        <v>707.2</v>
      </c>
      <c r="G122" s="513" t="e">
        <f t="shared" si="123"/>
        <v>#VALUE!</v>
      </c>
      <c r="H122" s="513" t="e">
        <f t="shared" si="123"/>
        <v>#VALUE!</v>
      </c>
      <c r="I122" s="513" t="e">
        <f t="shared" si="123"/>
        <v>#VALUE!</v>
      </c>
      <c r="J122" s="523" t="e">
        <f t="shared" si="66"/>
        <v>#VALUE!</v>
      </c>
      <c r="K122" s="523" t="e">
        <f t="shared" si="67"/>
        <v>#VALUE!</v>
      </c>
      <c r="L122" s="523" t="e">
        <f t="shared" si="68"/>
        <v>#VALUE!</v>
      </c>
      <c r="O122" s="153"/>
      <c r="S122" s="513" t="e">
        <f t="shared" ref="S122:U122" si="124">SUM(S123:S125)</f>
        <v>#VALUE!</v>
      </c>
      <c r="T122" s="513" t="e">
        <f t="shared" si="124"/>
        <v>#VALUE!</v>
      </c>
      <c r="U122" s="513" t="e">
        <f t="shared" si="124"/>
        <v>#VALUE!</v>
      </c>
    </row>
    <row r="123" s="1" customFormat="1" ht="21.75" customHeight="1" spans="1:21">
      <c r="A123" s="514" t="s">
        <v>170</v>
      </c>
      <c r="B123" s="515">
        <v>244.685933</v>
      </c>
      <c r="C123" s="515">
        <v>244.685933</v>
      </c>
      <c r="D123" s="515">
        <v>225.355912</v>
      </c>
      <c r="E123" s="515">
        <v>19.330021</v>
      </c>
      <c r="F123" s="515"/>
      <c r="G123" s="515" t="e">
        <f t="shared" ref="G123:G125" si="125">SUM(H123:I123)</f>
        <v>#VALUE!</v>
      </c>
      <c r="H123" s="515" t="e">
        <f>SUMIFS('[16]基本支出总表（开）'!P:P,'[16]基本支出总表（开）'!C:C,MID(A123,4,7))</f>
        <v>#VALUE!</v>
      </c>
      <c r="I123" s="515" t="e">
        <f>SUMIFS('[16]项目支出总表（开）'!Y:Y,'[16]项目支出总表（开）'!C:C,MID(A123,4,7))+SUMIFS('[16]项目支出总表（开）'!Z:Z,'[16]项目支出总表（开）'!C:C,MID(A123,4,7))</f>
        <v>#VALUE!</v>
      </c>
      <c r="J123" s="524" t="e">
        <f t="shared" si="66"/>
        <v>#VALUE!</v>
      </c>
      <c r="K123" s="524" t="e">
        <f t="shared" si="67"/>
        <v>#VALUE!</v>
      </c>
      <c r="L123" s="524" t="str">
        <f t="shared" si="68"/>
        <v/>
      </c>
      <c r="O123" s="153"/>
      <c r="S123" s="515" t="e">
        <f t="shared" ref="S123:S125" si="126">SUM(T123:U123)</f>
        <v>#VALUE!</v>
      </c>
      <c r="T123" s="515" t="e">
        <f>SUMIFS('[16]基本支出总表（开）'!M:M,'[16]基本支出总表（开）'!C:C,MID(TRIM(A123),2,7))</f>
        <v>#VALUE!</v>
      </c>
      <c r="U123" s="515" t="e">
        <f>SUMIFS('[16]项目支出总表（开）'!V:V,'[16]项目支出总表（开）'!C:C,MID(TRIM(A123),2,7))</f>
        <v>#VALUE!</v>
      </c>
    </row>
    <row r="124" s="1" customFormat="1" ht="21.75" customHeight="1" spans="1:21">
      <c r="A124" s="514" t="s">
        <v>171</v>
      </c>
      <c r="B124" s="515">
        <v>131.5</v>
      </c>
      <c r="C124" s="515"/>
      <c r="D124" s="515"/>
      <c r="E124" s="515"/>
      <c r="F124" s="515">
        <v>131.5</v>
      </c>
      <c r="G124" s="515" t="e">
        <f t="shared" si="125"/>
        <v>#VALUE!</v>
      </c>
      <c r="H124" s="515" t="e">
        <f>SUMIFS('[16]基本支出总表（开）'!P:P,'[16]基本支出总表（开）'!C:C,MID(A124,4,7))</f>
        <v>#VALUE!</v>
      </c>
      <c r="I124" s="515" t="e">
        <f>SUMIFS('[16]项目支出总表（开）'!Y:Y,'[16]项目支出总表（开）'!C:C,MID(A124,4,7))+SUMIFS('[16]项目支出总表（开）'!Z:Z,'[16]项目支出总表（开）'!C:C,MID(A124,4,7))</f>
        <v>#VALUE!</v>
      </c>
      <c r="J124" s="524" t="e">
        <f t="shared" si="66"/>
        <v>#VALUE!</v>
      </c>
      <c r="K124" s="524" t="str">
        <f t="shared" si="67"/>
        <v/>
      </c>
      <c r="L124" s="524" t="e">
        <f t="shared" si="68"/>
        <v>#VALUE!</v>
      </c>
      <c r="O124" s="153"/>
      <c r="S124" s="515" t="e">
        <f t="shared" si="126"/>
        <v>#VALUE!</v>
      </c>
      <c r="T124" s="515" t="e">
        <f>SUMIFS('[16]基本支出总表（开）'!M:M,'[16]基本支出总表（开）'!C:C,MID(TRIM(A124),2,7))</f>
        <v>#VALUE!</v>
      </c>
      <c r="U124" s="515" t="e">
        <f>SUMIFS('[16]项目支出总表（开）'!V:V,'[16]项目支出总表（开）'!C:C,MID(TRIM(A124),2,7))</f>
        <v>#VALUE!</v>
      </c>
    </row>
    <row r="125" s="1" customFormat="1" ht="21.75" customHeight="1" spans="1:21">
      <c r="A125" s="514" t="s">
        <v>172</v>
      </c>
      <c r="B125" s="515">
        <v>575.7</v>
      </c>
      <c r="C125" s="515"/>
      <c r="D125" s="515"/>
      <c r="E125" s="515"/>
      <c r="F125" s="515">
        <v>575.7</v>
      </c>
      <c r="G125" s="515" t="e">
        <f t="shared" si="125"/>
        <v>#VALUE!</v>
      </c>
      <c r="H125" s="515" t="e">
        <f>SUMIFS('[16]基本支出总表（开）'!P:P,'[16]基本支出总表（开）'!C:C,MID(A125,4,7))</f>
        <v>#VALUE!</v>
      </c>
      <c r="I125" s="515" t="e">
        <f>SUMIFS('[16]项目支出总表（开）'!Y:Y,'[16]项目支出总表（开）'!C:C,MID(A125,4,7))+SUMIFS('[16]项目支出总表（开）'!Z:Z,'[16]项目支出总表（开）'!C:C,MID(A125,4,7))</f>
        <v>#VALUE!</v>
      </c>
      <c r="J125" s="524" t="e">
        <f t="shared" si="66"/>
        <v>#VALUE!</v>
      </c>
      <c r="K125" s="524" t="str">
        <f t="shared" si="67"/>
        <v/>
      </c>
      <c r="L125" s="524" t="e">
        <f t="shared" si="68"/>
        <v>#VALUE!</v>
      </c>
      <c r="O125" s="153"/>
      <c r="S125" s="515" t="e">
        <f t="shared" si="126"/>
        <v>#VALUE!</v>
      </c>
      <c r="T125" s="515" t="e">
        <f>SUMIFS('[16]基本支出总表（开）'!M:M,'[16]基本支出总表（开）'!C:C,MID(TRIM(A125),2,7))</f>
        <v>#VALUE!</v>
      </c>
      <c r="U125" s="515" t="e">
        <f>SUMIFS('[16]项目支出总表（开）'!V:V,'[16]项目支出总表（开）'!C:C,MID(TRIM(A125),2,7))</f>
        <v>#VALUE!</v>
      </c>
    </row>
    <row r="126" s="1" customFormat="1" ht="21.75" customHeight="1" spans="1:21">
      <c r="A126" s="512" t="s">
        <v>173</v>
      </c>
      <c r="B126" s="513">
        <f t="shared" ref="B126:I126" si="127">SUM(B127:B128)</f>
        <v>2330</v>
      </c>
      <c r="C126" s="513">
        <f t="shared" si="127"/>
        <v>0</v>
      </c>
      <c r="D126" s="513">
        <f t="shared" si="127"/>
        <v>0</v>
      </c>
      <c r="E126" s="513">
        <f t="shared" si="127"/>
        <v>0</v>
      </c>
      <c r="F126" s="513">
        <f t="shared" si="127"/>
        <v>2330</v>
      </c>
      <c r="G126" s="513" t="e">
        <f t="shared" si="127"/>
        <v>#VALUE!</v>
      </c>
      <c r="H126" s="513" t="e">
        <f t="shared" si="127"/>
        <v>#VALUE!</v>
      </c>
      <c r="I126" s="513" t="e">
        <f t="shared" si="127"/>
        <v>#VALUE!</v>
      </c>
      <c r="J126" s="523" t="e">
        <f t="shared" si="66"/>
        <v>#VALUE!</v>
      </c>
      <c r="K126" s="523" t="str">
        <f t="shared" si="67"/>
        <v/>
      </c>
      <c r="L126" s="523" t="e">
        <f t="shared" si="68"/>
        <v>#VALUE!</v>
      </c>
      <c r="O126" s="153"/>
      <c r="S126" s="513" t="e">
        <f t="shared" ref="S126:U126" si="128">SUM(S127:S128)</f>
        <v>#VALUE!</v>
      </c>
      <c r="T126" s="513" t="e">
        <f t="shared" si="128"/>
        <v>#VALUE!</v>
      </c>
      <c r="U126" s="513" t="e">
        <f t="shared" si="128"/>
        <v>#VALUE!</v>
      </c>
    </row>
    <row r="127" s="1" customFormat="1" ht="21.75" customHeight="1" spans="1:21">
      <c r="A127" s="514" t="s">
        <v>174</v>
      </c>
      <c r="B127" s="515">
        <v>2330</v>
      </c>
      <c r="C127" s="515"/>
      <c r="D127" s="515"/>
      <c r="E127" s="515"/>
      <c r="F127" s="515">
        <v>2330</v>
      </c>
      <c r="G127" s="515" t="e">
        <f t="shared" ref="G127:G131" si="129">SUM(H127:I127)</f>
        <v>#VALUE!</v>
      </c>
      <c r="H127" s="515" t="e">
        <f>SUMIFS('[16]基本支出总表（开）'!P:P,'[16]基本支出总表（开）'!C:C,MID(A127,4,7))</f>
        <v>#VALUE!</v>
      </c>
      <c r="I127" s="515" t="e">
        <f>SUMIFS('[16]项目支出总表（开）'!Y:Y,'[16]项目支出总表（开）'!C:C,MID(A127,4,7))+SUMIFS('[16]项目支出总表（开）'!Z:Z,'[16]项目支出总表（开）'!C:C,MID(A127,4,7))</f>
        <v>#VALUE!</v>
      </c>
      <c r="J127" s="524" t="e">
        <f t="shared" si="66"/>
        <v>#VALUE!</v>
      </c>
      <c r="K127" s="524" t="str">
        <f t="shared" si="67"/>
        <v/>
      </c>
      <c r="L127" s="524" t="e">
        <f t="shared" si="68"/>
        <v>#VALUE!</v>
      </c>
      <c r="O127" s="153"/>
      <c r="S127" s="515" t="e">
        <f t="shared" ref="S127:S131" si="130">SUM(T127:U127)</f>
        <v>#VALUE!</v>
      </c>
      <c r="T127" s="515" t="e">
        <f>SUMIFS('[16]基本支出总表（开）'!M:M,'[16]基本支出总表（开）'!C:C,MID(TRIM(A127),2,7))</f>
        <v>#VALUE!</v>
      </c>
      <c r="U127" s="515" t="e">
        <f>SUMIFS('[16]项目支出总表（开）'!V:V,'[16]项目支出总表（开）'!C:C,MID(TRIM(A127),2,7))</f>
        <v>#VALUE!</v>
      </c>
    </row>
    <row r="128" s="1" customFormat="1" ht="21.75" customHeight="1" spans="1:21">
      <c r="A128" s="516" t="s">
        <v>175</v>
      </c>
      <c r="B128" s="515">
        <v>0</v>
      </c>
      <c r="C128" s="515"/>
      <c r="D128" s="515"/>
      <c r="E128" s="515"/>
      <c r="F128" s="515">
        <v>0</v>
      </c>
      <c r="G128" s="515" t="e">
        <f t="shared" si="129"/>
        <v>#VALUE!</v>
      </c>
      <c r="H128" s="515" t="e">
        <f>SUMIFS('[16]基本支出总表（开）'!P:P,'[16]基本支出总表（开）'!C:C,MID(A128,4,7))</f>
        <v>#VALUE!</v>
      </c>
      <c r="I128" s="515" t="e">
        <f>SUMIFS('[16]项目支出总表（开）'!Y:Y,'[16]项目支出总表（开）'!C:C,MID(A128,4,7))+SUMIFS('[16]项目支出总表（开）'!Z:Z,'[16]项目支出总表（开）'!C:C,MID(A128,4,7))</f>
        <v>#VALUE!</v>
      </c>
      <c r="J128" s="524" t="str">
        <f t="shared" si="66"/>
        <v/>
      </c>
      <c r="K128" s="524" t="str">
        <f t="shared" si="67"/>
        <v/>
      </c>
      <c r="L128" s="524" t="str">
        <f t="shared" si="68"/>
        <v/>
      </c>
      <c r="O128" s="153"/>
      <c r="S128" s="515" t="e">
        <f t="shared" si="130"/>
        <v>#VALUE!</v>
      </c>
      <c r="T128" s="515" t="e">
        <f>SUMIFS('[16]基本支出总表（开）'!M:M,'[16]基本支出总表（开）'!C:C,MID(TRIM(A128),2,7))</f>
        <v>#VALUE!</v>
      </c>
      <c r="U128" s="515" t="e">
        <f>SUMIFS('[16]项目支出总表（开）'!V:V,'[16]项目支出总表（开）'!C:C,MID(TRIM(A128),2,7))</f>
        <v>#VALUE!</v>
      </c>
    </row>
    <row r="129" s="1" customFormat="1" ht="21.75" customHeight="1" spans="1:21">
      <c r="A129" s="512" t="s">
        <v>176</v>
      </c>
      <c r="B129" s="513">
        <f t="shared" ref="B129:I129" si="131">SUM(B130:B131)</f>
        <v>2600</v>
      </c>
      <c r="C129" s="513">
        <f t="shared" si="131"/>
        <v>0</v>
      </c>
      <c r="D129" s="513">
        <f t="shared" si="131"/>
        <v>0</v>
      </c>
      <c r="E129" s="513">
        <f t="shared" si="131"/>
        <v>0</v>
      </c>
      <c r="F129" s="513">
        <f t="shared" si="131"/>
        <v>2600</v>
      </c>
      <c r="G129" s="513" t="e">
        <f t="shared" si="131"/>
        <v>#VALUE!</v>
      </c>
      <c r="H129" s="513" t="e">
        <f t="shared" si="131"/>
        <v>#VALUE!</v>
      </c>
      <c r="I129" s="513" t="e">
        <f t="shared" si="131"/>
        <v>#VALUE!</v>
      </c>
      <c r="J129" s="523" t="e">
        <f t="shared" si="66"/>
        <v>#VALUE!</v>
      </c>
      <c r="K129" s="523" t="str">
        <f t="shared" si="67"/>
        <v/>
      </c>
      <c r="L129" s="523" t="e">
        <f t="shared" si="68"/>
        <v>#VALUE!</v>
      </c>
      <c r="O129" s="153"/>
      <c r="S129" s="513" t="e">
        <f t="shared" ref="S129:U129" si="132">SUM(S130:S131)</f>
        <v>#VALUE!</v>
      </c>
      <c r="T129" s="513" t="e">
        <f t="shared" si="132"/>
        <v>#VALUE!</v>
      </c>
      <c r="U129" s="513" t="e">
        <f t="shared" si="132"/>
        <v>#VALUE!</v>
      </c>
    </row>
    <row r="130" s="1" customFormat="1" ht="21.75" customHeight="1" spans="1:21">
      <c r="A130" s="514" t="s">
        <v>177</v>
      </c>
      <c r="B130" s="515">
        <v>600</v>
      </c>
      <c r="C130" s="515"/>
      <c r="D130" s="515"/>
      <c r="E130" s="515"/>
      <c r="F130" s="515">
        <v>600</v>
      </c>
      <c r="G130" s="515" t="e">
        <f t="shared" si="129"/>
        <v>#VALUE!</v>
      </c>
      <c r="H130" s="515" t="e">
        <f>SUMIFS('[16]基本支出总表（开）'!P:P,'[16]基本支出总表（开）'!C:C,MID(A130,4,7))</f>
        <v>#VALUE!</v>
      </c>
      <c r="I130" s="515" t="e">
        <f>SUMIFS('[16]项目支出总表（开）'!Y:Y,'[16]项目支出总表（开）'!C:C,MID(A130,4,7))+SUMIFS('[16]项目支出总表（开）'!Z:Z,'[16]项目支出总表（开）'!C:C,MID(A130,4,7))</f>
        <v>#VALUE!</v>
      </c>
      <c r="J130" s="524" t="e">
        <f t="shared" si="66"/>
        <v>#VALUE!</v>
      </c>
      <c r="K130" s="524" t="str">
        <f t="shared" si="67"/>
        <v/>
      </c>
      <c r="L130" s="524" t="e">
        <f t="shared" si="68"/>
        <v>#VALUE!</v>
      </c>
      <c r="O130" s="153"/>
      <c r="S130" s="515" t="e">
        <f t="shared" si="130"/>
        <v>#VALUE!</v>
      </c>
      <c r="T130" s="515" t="e">
        <f>SUMIFS('[16]基本支出总表（开）'!M:M,'[16]基本支出总表（开）'!C:C,MID(TRIM(A130),2,7))</f>
        <v>#VALUE!</v>
      </c>
      <c r="U130" s="515" t="e">
        <f>SUMIFS('[16]项目支出总表（开）'!V:V,'[16]项目支出总表（开）'!C:C,MID(TRIM(A130),2,7))</f>
        <v>#VALUE!</v>
      </c>
    </row>
    <row r="131" s="1" customFormat="1" ht="21.75" customHeight="1" spans="1:21">
      <c r="A131" s="514" t="s">
        <v>178</v>
      </c>
      <c r="B131" s="515">
        <v>2000</v>
      </c>
      <c r="C131" s="515"/>
      <c r="D131" s="515"/>
      <c r="E131" s="515"/>
      <c r="F131" s="515">
        <v>2000</v>
      </c>
      <c r="G131" s="515" t="e">
        <f t="shared" si="129"/>
        <v>#VALUE!</v>
      </c>
      <c r="H131" s="515" t="e">
        <f>SUMIFS('[16]基本支出总表（开）'!P:P,'[16]基本支出总表（开）'!C:C,MID(A131,4,7))</f>
        <v>#VALUE!</v>
      </c>
      <c r="I131" s="515" t="e">
        <f>SUMIFS('[16]项目支出总表（开）'!Y:Y,'[16]项目支出总表（开）'!C:C,MID(A131,4,7))+SUMIFS('[16]项目支出总表（开）'!Z:Z,'[16]项目支出总表（开）'!C:C,MID(A131,4,7))</f>
        <v>#VALUE!</v>
      </c>
      <c r="J131" s="524" t="e">
        <f t="shared" si="66"/>
        <v>#VALUE!</v>
      </c>
      <c r="K131" s="524" t="str">
        <f t="shared" si="67"/>
        <v/>
      </c>
      <c r="L131" s="524" t="e">
        <f t="shared" si="68"/>
        <v>#VALUE!</v>
      </c>
      <c r="O131" s="153"/>
      <c r="S131" s="515" t="e">
        <f t="shared" si="130"/>
        <v>#VALUE!</v>
      </c>
      <c r="T131" s="515" t="e">
        <f>SUMIFS('[16]基本支出总表（开）'!M:M,'[16]基本支出总表（开）'!C:C,MID(TRIM(A131),2,7))</f>
        <v>#VALUE!</v>
      </c>
      <c r="U131" s="515" t="e">
        <f>SUMIFS('[16]项目支出总表（开）'!V:V,'[16]项目支出总表（开）'!C:C,MID(TRIM(A131),2,7))</f>
        <v>#VALUE!</v>
      </c>
    </row>
    <row r="132" s="1" customFormat="1" ht="21.75" customHeight="1" spans="1:21">
      <c r="A132" s="512" t="s">
        <v>179</v>
      </c>
      <c r="B132" s="513">
        <f t="shared" ref="B132:I132" si="133">SUM(B133:B135)</f>
        <v>990</v>
      </c>
      <c r="C132" s="513">
        <f t="shared" si="133"/>
        <v>0</v>
      </c>
      <c r="D132" s="513">
        <f t="shared" si="133"/>
        <v>0</v>
      </c>
      <c r="E132" s="513">
        <f t="shared" si="133"/>
        <v>0</v>
      </c>
      <c r="F132" s="513">
        <f t="shared" si="133"/>
        <v>990</v>
      </c>
      <c r="G132" s="513" t="e">
        <f t="shared" si="133"/>
        <v>#VALUE!</v>
      </c>
      <c r="H132" s="513" t="e">
        <f t="shared" si="133"/>
        <v>#VALUE!</v>
      </c>
      <c r="I132" s="513" t="e">
        <f t="shared" si="133"/>
        <v>#VALUE!</v>
      </c>
      <c r="J132" s="523" t="e">
        <f t="shared" si="66"/>
        <v>#VALUE!</v>
      </c>
      <c r="K132" s="523" t="str">
        <f t="shared" si="67"/>
        <v/>
      </c>
      <c r="L132" s="523" t="e">
        <f t="shared" si="68"/>
        <v>#VALUE!</v>
      </c>
      <c r="O132" s="153"/>
      <c r="S132" s="513" t="e">
        <f t="shared" ref="S132:U132" si="134">SUM(S133:S135)</f>
        <v>#VALUE!</v>
      </c>
      <c r="T132" s="513" t="e">
        <f t="shared" si="134"/>
        <v>#VALUE!</v>
      </c>
      <c r="U132" s="513" t="e">
        <f t="shared" si="134"/>
        <v>#VALUE!</v>
      </c>
    </row>
    <row r="133" s="1" customFormat="1" ht="21.75" customHeight="1" spans="1:21">
      <c r="A133" s="514" t="s">
        <v>180</v>
      </c>
      <c r="B133" s="515">
        <v>160</v>
      </c>
      <c r="C133" s="515"/>
      <c r="D133" s="515"/>
      <c r="E133" s="515"/>
      <c r="F133" s="515">
        <v>160</v>
      </c>
      <c r="G133" s="515" t="e">
        <f t="shared" ref="G133:G135" si="135">SUM(H133:I133)</f>
        <v>#VALUE!</v>
      </c>
      <c r="H133" s="515" t="e">
        <f>SUMIFS('[16]基本支出总表（开）'!P:P,'[16]基本支出总表（开）'!C:C,MID(A133,4,7))</f>
        <v>#VALUE!</v>
      </c>
      <c r="I133" s="515" t="e">
        <f>SUMIFS('[16]项目支出总表（开）'!Y:Y,'[16]项目支出总表（开）'!C:C,MID(A133,4,7))+SUMIFS('[16]项目支出总表（开）'!Z:Z,'[16]项目支出总表（开）'!C:C,MID(A133,4,7))</f>
        <v>#VALUE!</v>
      </c>
      <c r="J133" s="524" t="e">
        <f t="shared" si="66"/>
        <v>#VALUE!</v>
      </c>
      <c r="K133" s="524" t="str">
        <f t="shared" si="67"/>
        <v/>
      </c>
      <c r="L133" s="524" t="e">
        <f t="shared" si="68"/>
        <v>#VALUE!</v>
      </c>
      <c r="O133" s="153"/>
      <c r="S133" s="515" t="e">
        <f t="shared" ref="S133:S135" si="136">SUM(T133:U133)</f>
        <v>#VALUE!</v>
      </c>
      <c r="T133" s="515" t="e">
        <f>SUMIFS('[16]基本支出总表（开）'!M:M,'[16]基本支出总表（开）'!C:C,MID(TRIM(A133),2,7))</f>
        <v>#VALUE!</v>
      </c>
      <c r="U133" s="515" t="e">
        <f>SUMIFS('[16]项目支出总表（开）'!V:V,'[16]项目支出总表（开）'!C:C,MID(TRIM(A133),2,7))</f>
        <v>#VALUE!</v>
      </c>
    </row>
    <row r="134" s="1" customFormat="1" ht="21.75" customHeight="1" spans="1:21">
      <c r="A134" s="514" t="s">
        <v>181</v>
      </c>
      <c r="B134" s="515">
        <v>370</v>
      </c>
      <c r="C134" s="515"/>
      <c r="D134" s="515"/>
      <c r="E134" s="515"/>
      <c r="F134" s="515">
        <v>370</v>
      </c>
      <c r="G134" s="515" t="e">
        <f t="shared" si="135"/>
        <v>#VALUE!</v>
      </c>
      <c r="H134" s="515" t="e">
        <f>SUMIFS('[16]基本支出总表（开）'!P:P,'[16]基本支出总表（开）'!C:C,MID(A134,4,7))</f>
        <v>#VALUE!</v>
      </c>
      <c r="I134" s="515" t="e">
        <f>SUMIFS('[16]项目支出总表（开）'!Y:Y,'[16]项目支出总表（开）'!C:C,MID(A134,4,7))+SUMIFS('[16]项目支出总表（开）'!Z:Z,'[16]项目支出总表（开）'!C:C,MID(A134,4,7))</f>
        <v>#VALUE!</v>
      </c>
      <c r="J134" s="524" t="e">
        <f t="shared" ref="J134:J197" si="137">IF(B134=0,"",G134/B134)</f>
        <v>#VALUE!</v>
      </c>
      <c r="K134" s="524" t="str">
        <f t="shared" ref="K134:K197" si="138">IF(C134=0,"",H134/C134)</f>
        <v/>
      </c>
      <c r="L134" s="524" t="e">
        <f t="shared" ref="L134:L197" si="139">IF(F134=0,"",I134/F134)</f>
        <v>#VALUE!</v>
      </c>
      <c r="O134" s="153"/>
      <c r="S134" s="515" t="e">
        <f t="shared" si="136"/>
        <v>#VALUE!</v>
      </c>
      <c r="T134" s="515" t="e">
        <f>SUMIFS('[16]基本支出总表（开）'!M:M,'[16]基本支出总表（开）'!C:C,MID(TRIM(A134),2,7))</f>
        <v>#VALUE!</v>
      </c>
      <c r="U134" s="515" t="e">
        <f>SUMIFS('[16]项目支出总表（开）'!V:V,'[16]项目支出总表（开）'!C:C,MID(TRIM(A134),2,7))</f>
        <v>#VALUE!</v>
      </c>
    </row>
    <row r="135" s="1" customFormat="1" ht="21.75" customHeight="1" spans="1:21">
      <c r="A135" s="514" t="s">
        <v>182</v>
      </c>
      <c r="B135" s="515">
        <v>460</v>
      </c>
      <c r="C135" s="515"/>
      <c r="D135" s="515"/>
      <c r="E135" s="515"/>
      <c r="F135" s="515">
        <v>460</v>
      </c>
      <c r="G135" s="515" t="e">
        <f t="shared" si="135"/>
        <v>#VALUE!</v>
      </c>
      <c r="H135" s="515" t="e">
        <f>SUMIFS('[16]基本支出总表（开）'!P:P,'[16]基本支出总表（开）'!C:C,MID(A135,4,7))</f>
        <v>#VALUE!</v>
      </c>
      <c r="I135" s="515" t="e">
        <f>SUMIFS('[16]项目支出总表（开）'!Y:Y,'[16]项目支出总表（开）'!C:C,MID(A135,4,7))+SUMIFS('[16]项目支出总表（开）'!Z:Z,'[16]项目支出总表（开）'!C:C,MID(A135,4,7))</f>
        <v>#VALUE!</v>
      </c>
      <c r="J135" s="524" t="e">
        <f t="shared" si="137"/>
        <v>#VALUE!</v>
      </c>
      <c r="K135" s="524" t="str">
        <f t="shared" si="138"/>
        <v/>
      </c>
      <c r="L135" s="524" t="e">
        <f t="shared" si="139"/>
        <v>#VALUE!</v>
      </c>
      <c r="O135" s="153"/>
      <c r="S135" s="515" t="e">
        <f t="shared" si="136"/>
        <v>#VALUE!</v>
      </c>
      <c r="T135" s="515" t="e">
        <f>SUMIFS('[16]基本支出总表（开）'!M:M,'[16]基本支出总表（开）'!C:C,MID(TRIM(A135),2,7))</f>
        <v>#VALUE!</v>
      </c>
      <c r="U135" s="515" t="e">
        <f>SUMIFS('[16]项目支出总表（开）'!V:V,'[16]项目支出总表（开）'!C:C,MID(TRIM(A135),2,7))</f>
        <v>#VALUE!</v>
      </c>
    </row>
    <row r="136" s="1" customFormat="1" ht="21.75" customHeight="1" spans="1:21">
      <c r="A136" s="512" t="s">
        <v>183</v>
      </c>
      <c r="B136" s="513">
        <f t="shared" ref="B136:I136" si="140">SUM(B137:B138)</f>
        <v>57.4</v>
      </c>
      <c r="C136" s="513">
        <f t="shared" si="140"/>
        <v>0</v>
      </c>
      <c r="D136" s="513">
        <f t="shared" si="140"/>
        <v>0</v>
      </c>
      <c r="E136" s="513">
        <f t="shared" si="140"/>
        <v>0</v>
      </c>
      <c r="F136" s="513">
        <f t="shared" si="140"/>
        <v>57.4</v>
      </c>
      <c r="G136" s="513" t="e">
        <f t="shared" si="140"/>
        <v>#VALUE!</v>
      </c>
      <c r="H136" s="513" t="e">
        <f t="shared" si="140"/>
        <v>#VALUE!</v>
      </c>
      <c r="I136" s="513" t="e">
        <f t="shared" si="140"/>
        <v>#VALUE!</v>
      </c>
      <c r="J136" s="523" t="e">
        <f t="shared" si="137"/>
        <v>#VALUE!</v>
      </c>
      <c r="K136" s="523" t="str">
        <f t="shared" si="138"/>
        <v/>
      </c>
      <c r="L136" s="523" t="e">
        <f t="shared" si="139"/>
        <v>#VALUE!</v>
      </c>
      <c r="O136" s="153"/>
      <c r="S136" s="513" t="e">
        <f t="shared" ref="S136:U136" si="141">SUM(S137:S138)</f>
        <v>#VALUE!</v>
      </c>
      <c r="T136" s="513" t="e">
        <f t="shared" si="141"/>
        <v>#VALUE!</v>
      </c>
      <c r="U136" s="513" t="e">
        <f t="shared" si="141"/>
        <v>#VALUE!</v>
      </c>
    </row>
    <row r="137" s="1" customFormat="1" ht="21.75" customHeight="1" spans="1:21">
      <c r="A137" s="514" t="s">
        <v>184</v>
      </c>
      <c r="B137" s="515">
        <v>45</v>
      </c>
      <c r="C137" s="515"/>
      <c r="D137" s="515"/>
      <c r="E137" s="515"/>
      <c r="F137" s="515">
        <v>45</v>
      </c>
      <c r="G137" s="515" t="e">
        <f t="shared" ref="G137:G142" si="142">SUM(H137:I137)</f>
        <v>#VALUE!</v>
      </c>
      <c r="H137" s="515" t="e">
        <f>SUMIFS('[16]基本支出总表（开）'!P:P,'[16]基本支出总表（开）'!C:C,MID(A137,4,7))</f>
        <v>#VALUE!</v>
      </c>
      <c r="I137" s="515" t="e">
        <f>SUMIFS('[16]项目支出总表（开）'!Y:Y,'[16]项目支出总表（开）'!C:C,MID(A137,4,7))+SUMIFS('[16]项目支出总表（开）'!Z:Z,'[16]项目支出总表（开）'!C:C,MID(A137,4,7))</f>
        <v>#VALUE!</v>
      </c>
      <c r="J137" s="524" t="e">
        <f t="shared" si="137"/>
        <v>#VALUE!</v>
      </c>
      <c r="K137" s="524" t="str">
        <f t="shared" si="138"/>
        <v/>
      </c>
      <c r="L137" s="524" t="e">
        <f t="shared" si="139"/>
        <v>#VALUE!</v>
      </c>
      <c r="O137" s="153"/>
      <c r="S137" s="515" t="e">
        <f t="shared" ref="S137:S142" si="143">SUM(T137:U137)</f>
        <v>#VALUE!</v>
      </c>
      <c r="T137" s="515" t="e">
        <f>SUMIFS('[16]基本支出总表（开）'!M:M,'[16]基本支出总表（开）'!C:C,MID(TRIM(A137),2,7))</f>
        <v>#VALUE!</v>
      </c>
      <c r="U137" s="515" t="e">
        <f>SUMIFS('[16]项目支出总表（开）'!V:V,'[16]项目支出总表（开）'!C:C,MID(TRIM(A137),2,7))</f>
        <v>#VALUE!</v>
      </c>
    </row>
    <row r="138" s="1" customFormat="1" ht="21.75" customHeight="1" spans="1:21">
      <c r="A138" s="514" t="s">
        <v>185</v>
      </c>
      <c r="B138" s="515">
        <v>12.4</v>
      </c>
      <c r="C138" s="515"/>
      <c r="D138" s="515"/>
      <c r="E138" s="515"/>
      <c r="F138" s="515">
        <v>12.4</v>
      </c>
      <c r="G138" s="515" t="e">
        <f t="shared" si="142"/>
        <v>#VALUE!</v>
      </c>
      <c r="H138" s="515" t="e">
        <f>SUMIFS('[16]基本支出总表（开）'!P:P,'[16]基本支出总表（开）'!C:C,MID(A138,4,7))</f>
        <v>#VALUE!</v>
      </c>
      <c r="I138" s="515" t="e">
        <f>SUMIFS('[16]项目支出总表（开）'!Y:Y,'[16]项目支出总表（开）'!C:C,MID(A138,4,7))+SUMIFS('[16]项目支出总表（开）'!Z:Z,'[16]项目支出总表（开）'!C:C,MID(A138,4,7))</f>
        <v>#VALUE!</v>
      </c>
      <c r="J138" s="524" t="e">
        <f t="shared" si="137"/>
        <v>#VALUE!</v>
      </c>
      <c r="K138" s="524" t="str">
        <f t="shared" si="138"/>
        <v/>
      </c>
      <c r="L138" s="524" t="e">
        <f t="shared" si="139"/>
        <v>#VALUE!</v>
      </c>
      <c r="O138" s="153"/>
      <c r="S138" s="515" t="e">
        <f t="shared" si="143"/>
        <v>#VALUE!</v>
      </c>
      <c r="T138" s="515" t="e">
        <f>SUMIFS('[16]基本支出总表（开）'!M:M,'[16]基本支出总表（开）'!C:C,MID(TRIM(A138),2,7))</f>
        <v>#VALUE!</v>
      </c>
      <c r="U138" s="515" t="e">
        <f>SUMIFS('[16]项目支出总表（开）'!V:V,'[16]项目支出总表（开）'!C:C,MID(TRIM(A138),2,7))</f>
        <v>#VALUE!</v>
      </c>
    </row>
    <row r="139" s="1" customFormat="1" ht="21.75" customHeight="1" spans="1:21">
      <c r="A139" s="512" t="s">
        <v>186</v>
      </c>
      <c r="B139" s="513">
        <f t="shared" ref="B139:I139" si="144">SUM(B140:B142)</f>
        <v>5021</v>
      </c>
      <c r="C139" s="513">
        <f t="shared" si="144"/>
        <v>0</v>
      </c>
      <c r="D139" s="513">
        <f t="shared" si="144"/>
        <v>0</v>
      </c>
      <c r="E139" s="513">
        <f t="shared" si="144"/>
        <v>0</v>
      </c>
      <c r="F139" s="513">
        <f t="shared" si="144"/>
        <v>5021</v>
      </c>
      <c r="G139" s="513" t="e">
        <f t="shared" si="144"/>
        <v>#VALUE!</v>
      </c>
      <c r="H139" s="513" t="e">
        <f t="shared" si="144"/>
        <v>#VALUE!</v>
      </c>
      <c r="I139" s="513" t="e">
        <f t="shared" si="144"/>
        <v>#VALUE!</v>
      </c>
      <c r="J139" s="523" t="e">
        <f t="shared" si="137"/>
        <v>#VALUE!</v>
      </c>
      <c r="K139" s="523" t="str">
        <f t="shared" si="138"/>
        <v/>
      </c>
      <c r="L139" s="523" t="e">
        <f t="shared" si="139"/>
        <v>#VALUE!</v>
      </c>
      <c r="O139" s="153"/>
      <c r="S139" s="513" t="e">
        <f t="shared" ref="S139:U139" si="145">SUM(S140:S142)</f>
        <v>#VALUE!</v>
      </c>
      <c r="T139" s="513" t="e">
        <f t="shared" si="145"/>
        <v>#VALUE!</v>
      </c>
      <c r="U139" s="513" t="e">
        <f t="shared" si="145"/>
        <v>#VALUE!</v>
      </c>
    </row>
    <row r="140" s="1" customFormat="1" ht="21.75" customHeight="1" spans="1:21">
      <c r="A140" s="514" t="s">
        <v>187</v>
      </c>
      <c r="B140" s="515">
        <v>696</v>
      </c>
      <c r="C140" s="515"/>
      <c r="D140" s="515"/>
      <c r="E140" s="515"/>
      <c r="F140" s="515">
        <v>696</v>
      </c>
      <c r="G140" s="515" t="e">
        <f t="shared" si="142"/>
        <v>#VALUE!</v>
      </c>
      <c r="H140" s="515" t="e">
        <f>SUMIFS('[16]基本支出总表（开）'!P:P,'[16]基本支出总表（开）'!C:C,MID(A140,4,7))</f>
        <v>#VALUE!</v>
      </c>
      <c r="I140" s="515" t="e">
        <f>SUMIFS('[16]项目支出总表（开）'!Y:Y,'[16]项目支出总表（开）'!C:C,MID(A140,4,7))+SUMIFS('[16]项目支出总表（开）'!Z:Z,'[16]项目支出总表（开）'!C:C,MID(A140,4,7))</f>
        <v>#VALUE!</v>
      </c>
      <c r="J140" s="524" t="e">
        <f t="shared" si="137"/>
        <v>#VALUE!</v>
      </c>
      <c r="K140" s="524" t="str">
        <f t="shared" si="138"/>
        <v/>
      </c>
      <c r="L140" s="524" t="e">
        <f t="shared" si="139"/>
        <v>#VALUE!</v>
      </c>
      <c r="O140" s="153"/>
      <c r="S140" s="515" t="e">
        <f t="shared" si="143"/>
        <v>#VALUE!</v>
      </c>
      <c r="T140" s="515" t="e">
        <f>SUMIFS('[16]基本支出总表（开）'!M:M,'[16]基本支出总表（开）'!C:C,MID(TRIM(A140),2,7))</f>
        <v>#VALUE!</v>
      </c>
      <c r="U140" s="515" t="e">
        <f>SUMIFS('[16]项目支出总表（开）'!V:V,'[16]项目支出总表（开）'!C:C,MID(TRIM(A140),2,7))</f>
        <v>#VALUE!</v>
      </c>
    </row>
    <row r="141" s="1" customFormat="1" ht="21.75" customHeight="1" spans="1:21">
      <c r="A141" s="514" t="s">
        <v>188</v>
      </c>
      <c r="B141" s="515">
        <v>295</v>
      </c>
      <c r="C141" s="515"/>
      <c r="D141" s="515"/>
      <c r="E141" s="515"/>
      <c r="F141" s="515">
        <v>295</v>
      </c>
      <c r="G141" s="515" t="e">
        <f t="shared" si="142"/>
        <v>#VALUE!</v>
      </c>
      <c r="H141" s="515" t="e">
        <f>SUMIFS('[16]基本支出总表（开）'!P:P,'[16]基本支出总表（开）'!C:C,MID(A141,4,7))</f>
        <v>#VALUE!</v>
      </c>
      <c r="I141" s="515" t="e">
        <f>SUMIFS('[16]项目支出总表（开）'!Y:Y,'[16]项目支出总表（开）'!C:C,MID(A141,4,7))+SUMIFS('[16]项目支出总表（开）'!Z:Z,'[16]项目支出总表（开）'!C:C,MID(A141,4,7))</f>
        <v>#VALUE!</v>
      </c>
      <c r="J141" s="524" t="e">
        <f t="shared" si="137"/>
        <v>#VALUE!</v>
      </c>
      <c r="K141" s="524" t="str">
        <f t="shared" si="138"/>
        <v/>
      </c>
      <c r="L141" s="524" t="e">
        <f t="shared" si="139"/>
        <v>#VALUE!</v>
      </c>
      <c r="O141" s="153"/>
      <c r="S141" s="515" t="e">
        <f t="shared" si="143"/>
        <v>#VALUE!</v>
      </c>
      <c r="T141" s="515" t="e">
        <f>SUMIFS('[16]基本支出总表（开）'!M:M,'[16]基本支出总表（开）'!C:C,MID(TRIM(A141),2,7))</f>
        <v>#VALUE!</v>
      </c>
      <c r="U141" s="515" t="e">
        <f>SUMIFS('[16]项目支出总表（开）'!V:V,'[16]项目支出总表（开）'!C:C,MID(TRIM(A141),2,7))</f>
        <v>#VALUE!</v>
      </c>
    </row>
    <row r="142" s="1" customFormat="1" ht="21.75" customHeight="1" spans="1:21">
      <c r="A142" s="514" t="s">
        <v>189</v>
      </c>
      <c r="B142" s="515">
        <v>4030</v>
      </c>
      <c r="C142" s="515"/>
      <c r="D142" s="515"/>
      <c r="E142" s="515"/>
      <c r="F142" s="515">
        <v>4030</v>
      </c>
      <c r="G142" s="515" t="e">
        <f t="shared" si="142"/>
        <v>#VALUE!</v>
      </c>
      <c r="H142" s="515" t="e">
        <f>SUMIFS('[16]基本支出总表（开）'!P:P,'[16]基本支出总表（开）'!C:C,MID(A142,4,7))</f>
        <v>#VALUE!</v>
      </c>
      <c r="I142" s="515" t="e">
        <f>SUMIFS('[16]项目支出总表（开）'!Y:Y,'[16]项目支出总表（开）'!C:C,MID(A142,4,7))+SUMIFS('[16]项目支出总表（开）'!Z:Z,'[16]项目支出总表（开）'!C:C,MID(A142,4,7))</f>
        <v>#VALUE!</v>
      </c>
      <c r="J142" s="524" t="e">
        <f t="shared" si="137"/>
        <v>#VALUE!</v>
      </c>
      <c r="K142" s="524" t="str">
        <f t="shared" si="138"/>
        <v/>
      </c>
      <c r="L142" s="524" t="e">
        <f t="shared" si="139"/>
        <v>#VALUE!</v>
      </c>
      <c r="O142" s="153"/>
      <c r="S142" s="515" t="e">
        <f t="shared" si="143"/>
        <v>#VALUE!</v>
      </c>
      <c r="T142" s="515" t="e">
        <f>SUMIFS('[16]基本支出总表（开）'!M:M,'[16]基本支出总表（开）'!C:C,MID(TRIM(A142),2,7))</f>
        <v>#VALUE!</v>
      </c>
      <c r="U142" s="515" t="e">
        <f>SUMIFS('[16]项目支出总表（开）'!V:V,'[16]项目支出总表（开）'!C:C,MID(TRIM(A142),2,7))</f>
        <v>#VALUE!</v>
      </c>
    </row>
    <row r="143" s="1" customFormat="1" ht="21.75" customHeight="1" spans="1:21">
      <c r="A143" s="512" t="s">
        <v>190</v>
      </c>
      <c r="B143" s="513">
        <f t="shared" ref="B143:I143" si="146">SUM(B144:B148)</f>
        <v>488.320816</v>
      </c>
      <c r="C143" s="513">
        <f t="shared" si="146"/>
        <v>27.320816</v>
      </c>
      <c r="D143" s="513">
        <f t="shared" si="146"/>
        <v>24.396235</v>
      </c>
      <c r="E143" s="513">
        <f t="shared" si="146"/>
        <v>2.924581</v>
      </c>
      <c r="F143" s="513">
        <f t="shared" si="146"/>
        <v>461</v>
      </c>
      <c r="G143" s="513" t="e">
        <f t="shared" si="146"/>
        <v>#VALUE!</v>
      </c>
      <c r="H143" s="513" t="e">
        <f t="shared" si="146"/>
        <v>#VALUE!</v>
      </c>
      <c r="I143" s="513" t="e">
        <f t="shared" si="146"/>
        <v>#VALUE!</v>
      </c>
      <c r="J143" s="523" t="e">
        <f t="shared" si="137"/>
        <v>#VALUE!</v>
      </c>
      <c r="K143" s="523" t="e">
        <f t="shared" si="138"/>
        <v>#VALUE!</v>
      </c>
      <c r="L143" s="523" t="e">
        <f t="shared" si="139"/>
        <v>#VALUE!</v>
      </c>
      <c r="O143" s="153"/>
      <c r="S143" s="513" t="e">
        <f t="shared" ref="S143:U143" si="147">SUM(S144:S148)</f>
        <v>#VALUE!</v>
      </c>
      <c r="T143" s="513" t="e">
        <f t="shared" si="147"/>
        <v>#VALUE!</v>
      </c>
      <c r="U143" s="513" t="e">
        <f t="shared" si="147"/>
        <v>#VALUE!</v>
      </c>
    </row>
    <row r="144" s="1" customFormat="1" ht="21.75" customHeight="1" spans="1:21">
      <c r="A144" s="514" t="s">
        <v>191</v>
      </c>
      <c r="B144" s="515">
        <v>27.320816</v>
      </c>
      <c r="C144" s="515">
        <v>27.320816</v>
      </c>
      <c r="D144" s="515">
        <v>24.396235</v>
      </c>
      <c r="E144" s="515">
        <v>2.924581</v>
      </c>
      <c r="F144" s="515"/>
      <c r="G144" s="515" t="e">
        <f t="shared" ref="G144:G148" si="148">SUM(H144:I144)</f>
        <v>#VALUE!</v>
      </c>
      <c r="H144" s="515" t="e">
        <f>SUMIFS('[16]基本支出总表（开）'!P:P,'[16]基本支出总表（开）'!C:C,MID(A144,4,7))</f>
        <v>#VALUE!</v>
      </c>
      <c r="I144" s="515" t="e">
        <f>SUMIFS('[16]项目支出总表（开）'!Y:Y,'[16]项目支出总表（开）'!C:C,MID(A144,4,7))+SUMIFS('[16]项目支出总表（开）'!Z:Z,'[16]项目支出总表（开）'!C:C,MID(A144,4,7))</f>
        <v>#VALUE!</v>
      </c>
      <c r="J144" s="524" t="e">
        <f t="shared" si="137"/>
        <v>#VALUE!</v>
      </c>
      <c r="K144" s="524" t="e">
        <f t="shared" si="138"/>
        <v>#VALUE!</v>
      </c>
      <c r="L144" s="524" t="str">
        <f t="shared" si="139"/>
        <v/>
      </c>
      <c r="O144" s="153"/>
      <c r="S144" s="515" t="e">
        <f t="shared" ref="S144:S148" si="149">SUM(T144:U144)</f>
        <v>#VALUE!</v>
      </c>
      <c r="T144" s="515" t="e">
        <f>SUMIFS('[16]基本支出总表（开）'!M:M,'[16]基本支出总表（开）'!C:C,MID(TRIM(A144),2,7))</f>
        <v>#VALUE!</v>
      </c>
      <c r="U144" s="515" t="e">
        <f>SUMIFS('[16]项目支出总表（开）'!V:V,'[16]项目支出总表（开）'!C:C,MID(TRIM(A144),2,7))</f>
        <v>#VALUE!</v>
      </c>
    </row>
    <row r="145" s="1" customFormat="1" ht="21.75" customHeight="1" spans="1:21">
      <c r="A145" s="514" t="s">
        <v>192</v>
      </c>
      <c r="B145" s="515">
        <v>17</v>
      </c>
      <c r="C145" s="515"/>
      <c r="D145" s="515"/>
      <c r="E145" s="515"/>
      <c r="F145" s="515">
        <v>17</v>
      </c>
      <c r="G145" s="515" t="e">
        <f t="shared" si="148"/>
        <v>#VALUE!</v>
      </c>
      <c r="H145" s="515" t="e">
        <f>SUMIFS('[16]基本支出总表（开）'!P:P,'[16]基本支出总表（开）'!C:C,MID(A145,4,7))</f>
        <v>#VALUE!</v>
      </c>
      <c r="I145" s="515" t="e">
        <f>SUMIFS('[16]项目支出总表（开）'!Y:Y,'[16]项目支出总表（开）'!C:C,MID(A145,4,7))+SUMIFS('[16]项目支出总表（开）'!Z:Z,'[16]项目支出总表（开）'!C:C,MID(A145,4,7))</f>
        <v>#VALUE!</v>
      </c>
      <c r="J145" s="524" t="e">
        <f t="shared" si="137"/>
        <v>#VALUE!</v>
      </c>
      <c r="K145" s="524" t="str">
        <f t="shared" si="138"/>
        <v/>
      </c>
      <c r="L145" s="524" t="e">
        <f t="shared" si="139"/>
        <v>#VALUE!</v>
      </c>
      <c r="O145" s="153"/>
      <c r="S145" s="515" t="e">
        <f t="shared" si="149"/>
        <v>#VALUE!</v>
      </c>
      <c r="T145" s="515" t="e">
        <f>SUMIFS('[16]基本支出总表（开）'!M:M,'[16]基本支出总表（开）'!C:C,MID(TRIM(A145),2,7))</f>
        <v>#VALUE!</v>
      </c>
      <c r="U145" s="515" t="e">
        <f>SUMIFS('[16]项目支出总表（开）'!V:V,'[16]项目支出总表（开）'!C:C,MID(TRIM(A145),2,7))</f>
        <v>#VALUE!</v>
      </c>
    </row>
    <row r="146" s="1" customFormat="1" ht="21.75" customHeight="1" spans="1:21">
      <c r="A146" s="516" t="s">
        <v>193</v>
      </c>
      <c r="B146" s="515"/>
      <c r="C146" s="515"/>
      <c r="D146" s="515"/>
      <c r="E146" s="515"/>
      <c r="F146" s="515"/>
      <c r="G146" s="515" t="e">
        <f t="shared" si="148"/>
        <v>#VALUE!</v>
      </c>
      <c r="H146" s="515" t="e">
        <f>SUMIFS('[16]基本支出总表（开）'!P:P,'[16]基本支出总表（开）'!C:C,MID(A146,4,7))</f>
        <v>#VALUE!</v>
      </c>
      <c r="I146" s="515" t="e">
        <f>SUMIFS('[16]项目支出总表（开）'!Y:Y,'[16]项目支出总表（开）'!C:C,MID(A146,4,7))+SUMIFS('[16]项目支出总表（开）'!Z:Z,'[16]项目支出总表（开）'!C:C,MID(A146,4,7))</f>
        <v>#VALUE!</v>
      </c>
      <c r="J146" s="524" t="str">
        <f t="shared" si="137"/>
        <v/>
      </c>
      <c r="K146" s="524" t="str">
        <f t="shared" si="138"/>
        <v/>
      </c>
      <c r="L146" s="524" t="str">
        <f t="shared" si="139"/>
        <v/>
      </c>
      <c r="O146" s="153"/>
      <c r="S146" s="515" t="e">
        <f t="shared" si="149"/>
        <v>#VALUE!</v>
      </c>
      <c r="T146" s="515" t="e">
        <f>SUMIFS('[16]基本支出总表（开）'!M:M,'[16]基本支出总表（开）'!C:C,MID(TRIM(A146),2,7))</f>
        <v>#VALUE!</v>
      </c>
      <c r="U146" s="515" t="e">
        <f>SUMIFS('[16]项目支出总表（开）'!V:V,'[16]项目支出总表（开）'!C:C,MID(TRIM(A146),2,7))</f>
        <v>#VALUE!</v>
      </c>
    </row>
    <row r="147" s="1" customFormat="1" ht="21.75" customHeight="1" spans="1:21">
      <c r="A147" s="514" t="s">
        <v>194</v>
      </c>
      <c r="B147" s="515">
        <v>185.7</v>
      </c>
      <c r="C147" s="515"/>
      <c r="D147" s="515"/>
      <c r="E147" s="515"/>
      <c r="F147" s="515">
        <v>185.7</v>
      </c>
      <c r="G147" s="515" t="e">
        <f t="shared" si="148"/>
        <v>#VALUE!</v>
      </c>
      <c r="H147" s="515" t="e">
        <f>SUMIFS('[16]基本支出总表（开）'!P:P,'[16]基本支出总表（开）'!C:C,MID(A147,4,7))</f>
        <v>#VALUE!</v>
      </c>
      <c r="I147" s="515" t="e">
        <f>SUMIFS('[16]项目支出总表（开）'!Y:Y,'[16]项目支出总表（开）'!C:C,MID(A147,4,7))+SUMIFS('[16]项目支出总表（开）'!Z:Z,'[16]项目支出总表（开）'!C:C,MID(A147,4,7))</f>
        <v>#VALUE!</v>
      </c>
      <c r="J147" s="524" t="e">
        <f t="shared" si="137"/>
        <v>#VALUE!</v>
      </c>
      <c r="K147" s="524" t="str">
        <f t="shared" si="138"/>
        <v/>
      </c>
      <c r="L147" s="524" t="e">
        <f t="shared" si="139"/>
        <v>#VALUE!</v>
      </c>
      <c r="O147" s="153"/>
      <c r="S147" s="515" t="e">
        <f t="shared" si="149"/>
        <v>#VALUE!</v>
      </c>
      <c r="T147" s="515" t="e">
        <f>SUMIFS('[16]基本支出总表（开）'!M:M,'[16]基本支出总表（开）'!C:C,MID(TRIM(A147),2,7))</f>
        <v>#VALUE!</v>
      </c>
      <c r="U147" s="515" t="e">
        <f>SUMIFS('[16]项目支出总表（开）'!V:V,'[16]项目支出总表（开）'!C:C,MID(TRIM(A147),2,7))</f>
        <v>#VALUE!</v>
      </c>
    </row>
    <row r="148" s="1" customFormat="1" ht="21.75" customHeight="1" spans="1:21">
      <c r="A148" s="514" t="s">
        <v>195</v>
      </c>
      <c r="B148" s="515">
        <v>258.3</v>
      </c>
      <c r="C148" s="515"/>
      <c r="D148" s="515"/>
      <c r="E148" s="515"/>
      <c r="F148" s="515">
        <v>258.3</v>
      </c>
      <c r="G148" s="515" t="e">
        <f t="shared" si="148"/>
        <v>#VALUE!</v>
      </c>
      <c r="H148" s="515" t="e">
        <f>SUMIFS('[16]基本支出总表（开）'!P:P,'[16]基本支出总表（开）'!C:C,MID(A148,4,7))</f>
        <v>#VALUE!</v>
      </c>
      <c r="I148" s="515" t="e">
        <f>SUMIFS('[16]项目支出总表（开）'!Y:Y,'[16]项目支出总表（开）'!C:C,MID(A148,4,7))+SUMIFS('[16]项目支出总表（开）'!Z:Z,'[16]项目支出总表（开）'!C:C,MID(A148,4,7))</f>
        <v>#VALUE!</v>
      </c>
      <c r="J148" s="524" t="e">
        <f t="shared" si="137"/>
        <v>#VALUE!</v>
      </c>
      <c r="K148" s="524" t="str">
        <f t="shared" si="138"/>
        <v/>
      </c>
      <c r="L148" s="524" t="e">
        <f t="shared" si="139"/>
        <v>#VALUE!</v>
      </c>
      <c r="O148" s="153"/>
      <c r="S148" s="515" t="e">
        <f t="shared" si="149"/>
        <v>#VALUE!</v>
      </c>
      <c r="T148" s="515" t="e">
        <f>SUMIFS('[16]基本支出总表（开）'!M:M,'[16]基本支出总表（开）'!C:C,MID(TRIM(A148),2,7))</f>
        <v>#VALUE!</v>
      </c>
      <c r="U148" s="515" t="e">
        <f>SUMIFS('[16]项目支出总表（开）'!V:V,'[16]项目支出总表（开）'!C:C,MID(TRIM(A148),2,7))</f>
        <v>#VALUE!</v>
      </c>
    </row>
    <row r="149" s="1" customFormat="1" ht="21.75" customHeight="1" spans="1:21">
      <c r="A149" s="512" t="s">
        <v>196</v>
      </c>
      <c r="B149" s="513">
        <f t="shared" ref="B149:I149" si="150">SUM(B150)</f>
        <v>803.6</v>
      </c>
      <c r="C149" s="513">
        <f t="shared" si="150"/>
        <v>0</v>
      </c>
      <c r="D149" s="513">
        <f t="shared" si="150"/>
        <v>0</v>
      </c>
      <c r="E149" s="513">
        <f t="shared" si="150"/>
        <v>0</v>
      </c>
      <c r="F149" s="513">
        <f t="shared" si="150"/>
        <v>803.6</v>
      </c>
      <c r="G149" s="513" t="e">
        <f t="shared" si="150"/>
        <v>#VALUE!</v>
      </c>
      <c r="H149" s="513" t="e">
        <f t="shared" si="150"/>
        <v>#VALUE!</v>
      </c>
      <c r="I149" s="513" t="e">
        <f t="shared" si="150"/>
        <v>#VALUE!</v>
      </c>
      <c r="J149" s="523" t="e">
        <f t="shared" si="137"/>
        <v>#VALUE!</v>
      </c>
      <c r="K149" s="523" t="str">
        <f t="shared" si="138"/>
        <v/>
      </c>
      <c r="L149" s="523" t="e">
        <f t="shared" si="139"/>
        <v>#VALUE!</v>
      </c>
      <c r="O149" s="153"/>
      <c r="S149" s="513" t="e">
        <f t="shared" ref="S149:U149" si="151">SUM(S150)</f>
        <v>#VALUE!</v>
      </c>
      <c r="T149" s="513" t="e">
        <f t="shared" si="151"/>
        <v>#VALUE!</v>
      </c>
      <c r="U149" s="513" t="e">
        <f t="shared" si="151"/>
        <v>#VALUE!</v>
      </c>
    </row>
    <row r="150" s="1" customFormat="1" ht="21.75" customHeight="1" spans="1:21">
      <c r="A150" s="514" t="s">
        <v>197</v>
      </c>
      <c r="B150" s="515">
        <v>803.6</v>
      </c>
      <c r="C150" s="515"/>
      <c r="D150" s="515"/>
      <c r="E150" s="515"/>
      <c r="F150" s="515">
        <v>803.6</v>
      </c>
      <c r="G150" s="515" t="e">
        <f t="shared" ref="G150:G154" si="152">SUM(H150:I150)</f>
        <v>#VALUE!</v>
      </c>
      <c r="H150" s="515" t="e">
        <f>SUMIFS('[16]基本支出总表（开）'!P:P,'[16]基本支出总表（开）'!C:C,MID(A150,4,7))</f>
        <v>#VALUE!</v>
      </c>
      <c r="I150" s="515" t="e">
        <f>SUMIFS('[16]项目支出总表（开）'!Y:Y,'[16]项目支出总表（开）'!C:C,MID(A150,4,7))+SUMIFS('[16]项目支出总表（开）'!Z:Z,'[16]项目支出总表（开）'!C:C,MID(A150,4,7))</f>
        <v>#VALUE!</v>
      </c>
      <c r="J150" s="524" t="e">
        <f t="shared" si="137"/>
        <v>#VALUE!</v>
      </c>
      <c r="K150" s="524" t="str">
        <f t="shared" si="138"/>
        <v/>
      </c>
      <c r="L150" s="524" t="e">
        <f t="shared" si="139"/>
        <v>#VALUE!</v>
      </c>
      <c r="O150" s="153"/>
      <c r="S150" s="515" t="e">
        <f t="shared" ref="S150:S154" si="153">SUM(T150:U150)</f>
        <v>#VALUE!</v>
      </c>
      <c r="T150" s="515" t="e">
        <f>SUMIFS('[16]基本支出总表（开）'!M:M,'[16]基本支出总表（开）'!C:C,MID(TRIM(A150),2,7))</f>
        <v>#VALUE!</v>
      </c>
      <c r="U150" s="515" t="e">
        <f>SUMIFS('[16]项目支出总表（开）'!V:V,'[16]项目支出总表（开）'!C:C,MID(TRIM(A150),2,7))</f>
        <v>#VALUE!</v>
      </c>
    </row>
    <row r="151" s="1" customFormat="1" ht="21.75" customHeight="1" spans="1:21">
      <c r="A151" s="512" t="s">
        <v>198</v>
      </c>
      <c r="B151" s="513">
        <f t="shared" ref="B151:I151" si="154">SUM(B152)</f>
        <v>15</v>
      </c>
      <c r="C151" s="513">
        <f t="shared" si="154"/>
        <v>0</v>
      </c>
      <c r="D151" s="513">
        <f t="shared" si="154"/>
        <v>0</v>
      </c>
      <c r="E151" s="513">
        <f t="shared" si="154"/>
        <v>0</v>
      </c>
      <c r="F151" s="513">
        <f t="shared" si="154"/>
        <v>15</v>
      </c>
      <c r="G151" s="513" t="e">
        <f t="shared" si="154"/>
        <v>#VALUE!</v>
      </c>
      <c r="H151" s="513" t="e">
        <f t="shared" si="154"/>
        <v>#VALUE!</v>
      </c>
      <c r="I151" s="513" t="e">
        <f t="shared" si="154"/>
        <v>#VALUE!</v>
      </c>
      <c r="J151" s="523" t="e">
        <f t="shared" si="137"/>
        <v>#VALUE!</v>
      </c>
      <c r="K151" s="523" t="str">
        <f t="shared" si="138"/>
        <v/>
      </c>
      <c r="L151" s="523" t="e">
        <f t="shared" si="139"/>
        <v>#VALUE!</v>
      </c>
      <c r="O151" s="153"/>
      <c r="S151" s="513" t="e">
        <f t="shared" ref="S151:U151" si="155">SUM(S152)</f>
        <v>#VALUE!</v>
      </c>
      <c r="T151" s="513" t="e">
        <f t="shared" si="155"/>
        <v>#VALUE!</v>
      </c>
      <c r="U151" s="513" t="e">
        <f t="shared" si="155"/>
        <v>#VALUE!</v>
      </c>
    </row>
    <row r="152" s="1" customFormat="1" ht="21.75" customHeight="1" spans="1:21">
      <c r="A152" s="514" t="s">
        <v>199</v>
      </c>
      <c r="B152" s="515">
        <v>15</v>
      </c>
      <c r="C152" s="515"/>
      <c r="D152" s="515"/>
      <c r="E152" s="515"/>
      <c r="F152" s="515">
        <v>15</v>
      </c>
      <c r="G152" s="515" t="e">
        <f t="shared" si="152"/>
        <v>#VALUE!</v>
      </c>
      <c r="H152" s="515" t="e">
        <f>SUMIFS('[16]基本支出总表（开）'!P:P,'[16]基本支出总表（开）'!C:C,MID(A152,4,7))</f>
        <v>#VALUE!</v>
      </c>
      <c r="I152" s="515" t="e">
        <f>SUMIFS('[16]项目支出总表（开）'!Y:Y,'[16]项目支出总表（开）'!C:C,MID(A152,4,7))+SUMIFS('[16]项目支出总表（开）'!Z:Z,'[16]项目支出总表（开）'!C:C,MID(A152,4,7))</f>
        <v>#VALUE!</v>
      </c>
      <c r="J152" s="524" t="e">
        <f t="shared" si="137"/>
        <v>#VALUE!</v>
      </c>
      <c r="K152" s="524" t="str">
        <f t="shared" si="138"/>
        <v/>
      </c>
      <c r="L152" s="524" t="e">
        <f t="shared" si="139"/>
        <v>#VALUE!</v>
      </c>
      <c r="O152" s="153"/>
      <c r="S152" s="515" t="e">
        <f t="shared" si="153"/>
        <v>#VALUE!</v>
      </c>
      <c r="T152" s="515" t="e">
        <f>SUMIFS('[16]基本支出总表（开）'!M:M,'[16]基本支出总表（开）'!C:C,MID(TRIM(A152),2,7))</f>
        <v>#VALUE!</v>
      </c>
      <c r="U152" s="515" t="e">
        <f>SUMIFS('[16]项目支出总表（开）'!V:V,'[16]项目支出总表（开）'!C:C,MID(TRIM(A152),2,7))</f>
        <v>#VALUE!</v>
      </c>
    </row>
    <row r="153" s="1" customFormat="1" ht="21.75" customHeight="1" spans="1:21">
      <c r="A153" s="512" t="s">
        <v>200</v>
      </c>
      <c r="B153" s="513">
        <f t="shared" ref="B153:I153" si="156">SUM(B154)</f>
        <v>830</v>
      </c>
      <c r="C153" s="513">
        <f t="shared" si="156"/>
        <v>0</v>
      </c>
      <c r="D153" s="513">
        <f t="shared" si="156"/>
        <v>0</v>
      </c>
      <c r="E153" s="513">
        <f t="shared" si="156"/>
        <v>0</v>
      </c>
      <c r="F153" s="513">
        <f t="shared" si="156"/>
        <v>830</v>
      </c>
      <c r="G153" s="513" t="e">
        <f t="shared" si="156"/>
        <v>#VALUE!</v>
      </c>
      <c r="H153" s="513" t="e">
        <f t="shared" si="156"/>
        <v>#VALUE!</v>
      </c>
      <c r="I153" s="513" t="e">
        <f t="shared" si="156"/>
        <v>#VALUE!</v>
      </c>
      <c r="J153" s="523" t="e">
        <f t="shared" si="137"/>
        <v>#VALUE!</v>
      </c>
      <c r="K153" s="523" t="str">
        <f t="shared" si="138"/>
        <v/>
      </c>
      <c r="L153" s="523" t="e">
        <f t="shared" si="139"/>
        <v>#VALUE!</v>
      </c>
      <c r="O153" s="153"/>
      <c r="S153" s="513" t="e">
        <f t="shared" ref="S153:U153" si="157">SUM(S154)</f>
        <v>#VALUE!</v>
      </c>
      <c r="T153" s="513" t="e">
        <f t="shared" si="157"/>
        <v>#VALUE!</v>
      </c>
      <c r="U153" s="513" t="e">
        <f t="shared" si="157"/>
        <v>#VALUE!</v>
      </c>
    </row>
    <row r="154" s="1" customFormat="1" ht="21.75" customHeight="1" spans="1:21">
      <c r="A154" s="514" t="s">
        <v>201</v>
      </c>
      <c r="B154" s="515">
        <v>830</v>
      </c>
      <c r="C154" s="515"/>
      <c r="D154" s="515"/>
      <c r="E154" s="515"/>
      <c r="F154" s="515">
        <v>830</v>
      </c>
      <c r="G154" s="515" t="e">
        <f t="shared" si="152"/>
        <v>#VALUE!</v>
      </c>
      <c r="H154" s="515" t="e">
        <f>SUMIFS('[16]基本支出总表（开）'!P:P,'[16]基本支出总表（开）'!C:C,MID(A154,4,7))</f>
        <v>#VALUE!</v>
      </c>
      <c r="I154" s="515" t="e">
        <f>SUMIFS('[16]项目支出总表（开）'!Y:Y,'[16]项目支出总表（开）'!C:C,MID(A154,4,7))+SUMIFS('[16]项目支出总表（开）'!Z:Z,'[16]项目支出总表（开）'!C:C,MID(A154,4,7))</f>
        <v>#VALUE!</v>
      </c>
      <c r="J154" s="524" t="e">
        <f t="shared" si="137"/>
        <v>#VALUE!</v>
      </c>
      <c r="K154" s="524" t="str">
        <f t="shared" si="138"/>
        <v/>
      </c>
      <c r="L154" s="524" t="e">
        <f t="shared" si="139"/>
        <v>#VALUE!</v>
      </c>
      <c r="O154" s="153"/>
      <c r="S154" s="515" t="e">
        <f t="shared" si="153"/>
        <v>#VALUE!</v>
      </c>
      <c r="T154" s="515" t="e">
        <f>SUMIFS('[16]基本支出总表（开）'!M:M,'[16]基本支出总表（开）'!C:C,MID(TRIM(A154),2,7))</f>
        <v>#VALUE!</v>
      </c>
      <c r="U154" s="515" t="e">
        <f>SUMIFS('[16]项目支出总表（开）'!V:V,'[16]项目支出总表（开）'!C:C,MID(TRIM(A154),2,7))</f>
        <v>#VALUE!</v>
      </c>
    </row>
    <row r="155" s="1" customFormat="1" ht="21.75" customHeight="1" spans="1:21">
      <c r="A155" s="512" t="s">
        <v>202</v>
      </c>
      <c r="B155" s="513">
        <f t="shared" ref="B155:I155" si="158">SUM(B156:B159)</f>
        <v>228.207637</v>
      </c>
      <c r="C155" s="513">
        <f t="shared" si="158"/>
        <v>141.207637</v>
      </c>
      <c r="D155" s="513">
        <f t="shared" si="158"/>
        <v>126.489197</v>
      </c>
      <c r="E155" s="513">
        <f t="shared" si="158"/>
        <v>14.71844</v>
      </c>
      <c r="F155" s="513">
        <f t="shared" si="158"/>
        <v>87</v>
      </c>
      <c r="G155" s="513" t="e">
        <f t="shared" si="158"/>
        <v>#VALUE!</v>
      </c>
      <c r="H155" s="513" t="e">
        <f t="shared" si="158"/>
        <v>#VALUE!</v>
      </c>
      <c r="I155" s="513" t="e">
        <f t="shared" si="158"/>
        <v>#VALUE!</v>
      </c>
      <c r="J155" s="523" t="e">
        <f t="shared" si="137"/>
        <v>#VALUE!</v>
      </c>
      <c r="K155" s="523" t="e">
        <f t="shared" si="138"/>
        <v>#VALUE!</v>
      </c>
      <c r="L155" s="523" t="e">
        <f t="shared" si="139"/>
        <v>#VALUE!</v>
      </c>
      <c r="O155" s="153"/>
      <c r="S155" s="513" t="e">
        <f t="shared" ref="S155:U155" si="159">SUM(S156:S159)</f>
        <v>#VALUE!</v>
      </c>
      <c r="T155" s="513" t="e">
        <f t="shared" si="159"/>
        <v>#VALUE!</v>
      </c>
      <c r="U155" s="513" t="e">
        <f t="shared" si="159"/>
        <v>#VALUE!</v>
      </c>
    </row>
    <row r="156" s="1" customFormat="1" ht="21.75" customHeight="1" spans="1:21">
      <c r="A156" s="514" t="s">
        <v>203</v>
      </c>
      <c r="B156" s="515">
        <v>141.207637</v>
      </c>
      <c r="C156" s="515">
        <v>141.207637</v>
      </c>
      <c r="D156" s="515">
        <v>126.489197</v>
      </c>
      <c r="E156" s="515">
        <v>14.71844</v>
      </c>
      <c r="F156" s="515"/>
      <c r="G156" s="515" t="e">
        <f t="shared" ref="G156:G159" si="160">SUM(H156:I156)</f>
        <v>#VALUE!</v>
      </c>
      <c r="H156" s="515" t="e">
        <f>SUMIFS('[16]基本支出总表（开）'!P:P,'[16]基本支出总表（开）'!C:C,MID(A156,4,7))</f>
        <v>#VALUE!</v>
      </c>
      <c r="I156" s="515" t="e">
        <f>SUMIFS('[16]项目支出总表（开）'!Y:Y,'[16]项目支出总表（开）'!C:C,MID(A156,4,7))+SUMIFS('[16]项目支出总表（开）'!Z:Z,'[16]项目支出总表（开）'!C:C,MID(A156,4,7))</f>
        <v>#VALUE!</v>
      </c>
      <c r="J156" s="524" t="e">
        <f t="shared" si="137"/>
        <v>#VALUE!</v>
      </c>
      <c r="K156" s="524" t="e">
        <f t="shared" si="138"/>
        <v>#VALUE!</v>
      </c>
      <c r="L156" s="524" t="str">
        <f t="shared" si="139"/>
        <v/>
      </c>
      <c r="O156" s="153"/>
      <c r="S156" s="515" t="e">
        <f t="shared" ref="S156:S159" si="161">SUM(T156:U156)</f>
        <v>#VALUE!</v>
      </c>
      <c r="T156" s="515" t="e">
        <f>SUMIFS('[16]基本支出总表（开）'!M:M,'[16]基本支出总表（开）'!C:C,MID(TRIM(A156),2,7))</f>
        <v>#VALUE!</v>
      </c>
      <c r="U156" s="515" t="e">
        <f>SUMIFS('[16]项目支出总表（开）'!V:V,'[16]项目支出总表（开）'!C:C,MID(TRIM(A156),2,7))</f>
        <v>#VALUE!</v>
      </c>
    </row>
    <row r="157" s="1" customFormat="1" ht="21.75" customHeight="1" spans="1:21">
      <c r="A157" s="514" t="s">
        <v>204</v>
      </c>
      <c r="B157" s="515">
        <v>27</v>
      </c>
      <c r="C157" s="515"/>
      <c r="D157" s="515"/>
      <c r="E157" s="515"/>
      <c r="F157" s="515">
        <v>27</v>
      </c>
      <c r="G157" s="515" t="e">
        <f t="shared" si="160"/>
        <v>#VALUE!</v>
      </c>
      <c r="H157" s="515" t="e">
        <f>SUMIFS('[16]基本支出总表（开）'!P:P,'[16]基本支出总表（开）'!C:C,MID(A157,4,7))</f>
        <v>#VALUE!</v>
      </c>
      <c r="I157" s="515" t="e">
        <f>SUMIFS('[16]项目支出总表（开）'!Y:Y,'[16]项目支出总表（开）'!C:C,MID(A157,4,7))+SUMIFS('[16]项目支出总表（开）'!Z:Z,'[16]项目支出总表（开）'!C:C,MID(A157,4,7))</f>
        <v>#VALUE!</v>
      </c>
      <c r="J157" s="524" t="e">
        <f t="shared" si="137"/>
        <v>#VALUE!</v>
      </c>
      <c r="K157" s="524" t="str">
        <f t="shared" si="138"/>
        <v/>
      </c>
      <c r="L157" s="524" t="e">
        <f t="shared" si="139"/>
        <v>#VALUE!</v>
      </c>
      <c r="O157" s="153"/>
      <c r="S157" s="515" t="e">
        <f t="shared" si="161"/>
        <v>#VALUE!</v>
      </c>
      <c r="T157" s="515" t="e">
        <f>SUMIFS('[16]基本支出总表（开）'!M:M,'[16]基本支出总表（开）'!C:C,MID(TRIM(A157),2,7))</f>
        <v>#VALUE!</v>
      </c>
      <c r="U157" s="515" t="e">
        <f>SUMIFS('[16]项目支出总表（开）'!V:V,'[16]项目支出总表（开）'!C:C,MID(TRIM(A157),2,7))</f>
        <v>#VALUE!</v>
      </c>
    </row>
    <row r="158" s="1" customFormat="1" ht="21.75" customHeight="1" spans="1:21">
      <c r="A158" s="514" t="s">
        <v>205</v>
      </c>
      <c r="B158" s="515">
        <v>60</v>
      </c>
      <c r="C158" s="515"/>
      <c r="D158" s="515"/>
      <c r="E158" s="515"/>
      <c r="F158" s="515">
        <v>60</v>
      </c>
      <c r="G158" s="515" t="e">
        <f t="shared" si="160"/>
        <v>#VALUE!</v>
      </c>
      <c r="H158" s="515" t="e">
        <f>SUMIFS('[16]基本支出总表（开）'!P:P,'[16]基本支出总表（开）'!C:C,MID(A158,4,7))</f>
        <v>#VALUE!</v>
      </c>
      <c r="I158" s="515" t="e">
        <f>SUMIFS('[16]项目支出总表（开）'!Y:Y,'[16]项目支出总表（开）'!C:C,MID(A158,4,7))+SUMIFS('[16]项目支出总表（开）'!Z:Z,'[16]项目支出总表（开）'!C:C,MID(A158,4,7))</f>
        <v>#VALUE!</v>
      </c>
      <c r="J158" s="524" t="e">
        <f t="shared" si="137"/>
        <v>#VALUE!</v>
      </c>
      <c r="K158" s="524" t="str">
        <f t="shared" si="138"/>
        <v/>
      </c>
      <c r="L158" s="524" t="e">
        <f t="shared" si="139"/>
        <v>#VALUE!</v>
      </c>
      <c r="O158" s="153"/>
      <c r="S158" s="515" t="e">
        <f t="shared" si="161"/>
        <v>#VALUE!</v>
      </c>
      <c r="T158" s="515" t="e">
        <f>SUMIFS('[16]基本支出总表（开）'!M:M,'[16]基本支出总表（开）'!C:C,MID(TRIM(A158),2,7))</f>
        <v>#VALUE!</v>
      </c>
      <c r="U158" s="515" t="e">
        <f>SUMIFS('[16]项目支出总表（开）'!V:V,'[16]项目支出总表（开）'!C:C,MID(TRIM(A158),2,7))</f>
        <v>#VALUE!</v>
      </c>
    </row>
    <row r="159" s="1" customFormat="1" ht="21.75" customHeight="1" spans="1:21">
      <c r="A159" s="516" t="s">
        <v>206</v>
      </c>
      <c r="B159" s="515"/>
      <c r="C159" s="515"/>
      <c r="D159" s="515"/>
      <c r="E159" s="515"/>
      <c r="F159" s="515"/>
      <c r="G159" s="515" t="e">
        <f t="shared" si="160"/>
        <v>#VALUE!</v>
      </c>
      <c r="H159" s="515" t="e">
        <f>SUMIFS('[16]基本支出总表（开）'!P:P,'[16]基本支出总表（开）'!C:C,MID(A159,4,7))</f>
        <v>#VALUE!</v>
      </c>
      <c r="I159" s="515" t="e">
        <f>SUMIFS('[16]项目支出总表（开）'!Y:Y,'[16]项目支出总表（开）'!C:C,MID(A159,4,7))+SUMIFS('[16]项目支出总表（开）'!Z:Z,'[16]项目支出总表（开）'!C:C,MID(A159,4,7))</f>
        <v>#VALUE!</v>
      </c>
      <c r="J159" s="524" t="str">
        <f t="shared" si="137"/>
        <v/>
      </c>
      <c r="K159" s="524" t="str">
        <f t="shared" si="138"/>
        <v/>
      </c>
      <c r="L159" s="524" t="str">
        <f t="shared" si="139"/>
        <v/>
      </c>
      <c r="O159" s="153"/>
      <c r="S159" s="515" t="e">
        <f t="shared" si="161"/>
        <v>#VALUE!</v>
      </c>
      <c r="T159" s="515" t="e">
        <f>SUMIFS('[16]基本支出总表（开）'!M:M,'[16]基本支出总表（开）'!C:C,MID(TRIM(A159),2,7))</f>
        <v>#VALUE!</v>
      </c>
      <c r="U159" s="515" t="e">
        <f>SUMIFS('[16]项目支出总表（开）'!V:V,'[16]项目支出总表（开）'!C:C,MID(TRIM(A159),2,7))</f>
        <v>#VALUE!</v>
      </c>
    </row>
    <row r="160" s="1" customFormat="1" ht="21.75" customHeight="1" spans="1:21">
      <c r="A160" s="512" t="s">
        <v>207</v>
      </c>
      <c r="B160" s="513">
        <f t="shared" ref="B160:I160" si="162">SUM(B161)</f>
        <v>56</v>
      </c>
      <c r="C160" s="513">
        <f t="shared" si="162"/>
        <v>0</v>
      </c>
      <c r="D160" s="513">
        <f t="shared" si="162"/>
        <v>0</v>
      </c>
      <c r="E160" s="513">
        <f t="shared" si="162"/>
        <v>0</v>
      </c>
      <c r="F160" s="513">
        <f t="shared" si="162"/>
        <v>56</v>
      </c>
      <c r="G160" s="513" t="e">
        <f t="shared" si="162"/>
        <v>#VALUE!</v>
      </c>
      <c r="H160" s="513" t="e">
        <f t="shared" si="162"/>
        <v>#VALUE!</v>
      </c>
      <c r="I160" s="513" t="e">
        <f t="shared" si="162"/>
        <v>#VALUE!</v>
      </c>
      <c r="J160" s="523" t="e">
        <f t="shared" si="137"/>
        <v>#VALUE!</v>
      </c>
      <c r="K160" s="523" t="str">
        <f t="shared" si="138"/>
        <v/>
      </c>
      <c r="L160" s="523" t="e">
        <f t="shared" si="139"/>
        <v>#VALUE!</v>
      </c>
      <c r="O160" s="153"/>
      <c r="S160" s="513" t="e">
        <f t="shared" ref="S160:U160" si="163">SUM(S161)</f>
        <v>#VALUE!</v>
      </c>
      <c r="T160" s="513" t="e">
        <f t="shared" si="163"/>
        <v>#VALUE!</v>
      </c>
      <c r="U160" s="513" t="e">
        <f t="shared" si="163"/>
        <v>#VALUE!</v>
      </c>
    </row>
    <row r="161" s="1" customFormat="1" ht="21.75" customHeight="1" spans="1:21">
      <c r="A161" s="514" t="s">
        <v>208</v>
      </c>
      <c r="B161" s="515">
        <v>56</v>
      </c>
      <c r="C161" s="515"/>
      <c r="D161" s="515"/>
      <c r="E161" s="515"/>
      <c r="F161" s="515">
        <v>56</v>
      </c>
      <c r="G161" s="515" t="e">
        <f t="shared" ref="G161:G168" si="164">SUM(H161:I161)</f>
        <v>#VALUE!</v>
      </c>
      <c r="H161" s="515" t="e">
        <f>SUMIFS('[16]基本支出总表（开）'!P:P,'[16]基本支出总表（开）'!C:C,MID(A161,4,7))</f>
        <v>#VALUE!</v>
      </c>
      <c r="I161" s="515" t="e">
        <f>SUMIFS('[16]项目支出总表（开）'!Y:Y,'[16]项目支出总表（开）'!C:C,MID(A161,4,7))+SUMIFS('[16]项目支出总表（开）'!Z:Z,'[16]项目支出总表（开）'!C:C,MID(A161,4,7))</f>
        <v>#VALUE!</v>
      </c>
      <c r="J161" s="524" t="e">
        <f t="shared" si="137"/>
        <v>#VALUE!</v>
      </c>
      <c r="K161" s="524" t="str">
        <f t="shared" si="138"/>
        <v/>
      </c>
      <c r="L161" s="524" t="e">
        <f t="shared" si="139"/>
        <v>#VALUE!</v>
      </c>
      <c r="O161" s="153"/>
      <c r="S161" s="515" t="e">
        <f t="shared" ref="S161:S168" si="165">SUM(T161:U161)</f>
        <v>#VALUE!</v>
      </c>
      <c r="T161" s="515" t="e">
        <f>SUMIFS('[16]基本支出总表（开）'!M:M,'[16]基本支出总表（开）'!C:C,MID(TRIM(A161),2,7))</f>
        <v>#VALUE!</v>
      </c>
      <c r="U161" s="515" t="e">
        <f>SUMIFS('[16]项目支出总表（开）'!V:V,'[16]项目支出总表（开）'!C:C,MID(TRIM(A161),2,7))</f>
        <v>#VALUE!</v>
      </c>
    </row>
    <row r="162" s="1" customFormat="1" ht="21.75" customHeight="1" spans="1:21">
      <c r="A162" s="517" t="s">
        <v>209</v>
      </c>
      <c r="B162" s="513">
        <f t="shared" ref="B162:I162" si="166">SUM(B163)</f>
        <v>0</v>
      </c>
      <c r="C162" s="513">
        <f t="shared" si="166"/>
        <v>0</v>
      </c>
      <c r="D162" s="513">
        <f t="shared" si="166"/>
        <v>0</v>
      </c>
      <c r="E162" s="513">
        <f t="shared" si="166"/>
        <v>0</v>
      </c>
      <c r="F162" s="513">
        <f t="shared" si="166"/>
        <v>0</v>
      </c>
      <c r="G162" s="513" t="e">
        <f t="shared" si="166"/>
        <v>#VALUE!</v>
      </c>
      <c r="H162" s="513" t="e">
        <f t="shared" si="166"/>
        <v>#VALUE!</v>
      </c>
      <c r="I162" s="513" t="e">
        <f t="shared" si="166"/>
        <v>#VALUE!</v>
      </c>
      <c r="J162" s="523" t="str">
        <f t="shared" si="137"/>
        <v/>
      </c>
      <c r="K162" s="523" t="str">
        <f t="shared" si="138"/>
        <v/>
      </c>
      <c r="L162" s="523" t="str">
        <f t="shared" si="139"/>
        <v/>
      </c>
      <c r="O162" s="153"/>
      <c r="S162" s="513" t="e">
        <f t="shared" ref="S162:U162" si="167">SUM(S163)</f>
        <v>#VALUE!</v>
      </c>
      <c r="T162" s="513" t="e">
        <f t="shared" si="167"/>
        <v>#VALUE!</v>
      </c>
      <c r="U162" s="513" t="e">
        <f t="shared" si="167"/>
        <v>#VALUE!</v>
      </c>
    </row>
    <row r="163" s="1" customFormat="1" ht="21.75" customHeight="1" spans="1:21">
      <c r="A163" s="516" t="s">
        <v>210</v>
      </c>
      <c r="B163" s="515"/>
      <c r="C163" s="515"/>
      <c r="D163" s="515"/>
      <c r="E163" s="515"/>
      <c r="F163" s="515"/>
      <c r="G163" s="515" t="e">
        <f t="shared" si="164"/>
        <v>#VALUE!</v>
      </c>
      <c r="H163" s="515" t="e">
        <f>SUMIFS('[16]基本支出总表（开）'!P:P,'[16]基本支出总表（开）'!C:C,MID(A163,4,7))</f>
        <v>#VALUE!</v>
      </c>
      <c r="I163" s="515" t="e">
        <f>SUMIFS('[16]项目支出总表（开）'!Y:Y,'[16]项目支出总表（开）'!C:C,MID(A163,4,7))+SUMIFS('[16]项目支出总表（开）'!Z:Z,'[16]项目支出总表（开）'!C:C,MID(A163,4,7))</f>
        <v>#VALUE!</v>
      </c>
      <c r="J163" s="524" t="str">
        <f t="shared" si="137"/>
        <v/>
      </c>
      <c r="K163" s="524" t="str">
        <f t="shared" si="138"/>
        <v/>
      </c>
      <c r="L163" s="524" t="str">
        <f t="shared" si="139"/>
        <v/>
      </c>
      <c r="O163" s="153"/>
      <c r="S163" s="515" t="e">
        <f t="shared" si="165"/>
        <v>#VALUE!</v>
      </c>
      <c r="T163" s="515" t="e">
        <f>SUMIFS('[16]基本支出总表（开）'!M:M,'[16]基本支出总表（开）'!C:C,MID(TRIM(A163),2,7))</f>
        <v>#VALUE!</v>
      </c>
      <c r="U163" s="515" t="e">
        <f>SUMIFS('[16]项目支出总表（开）'!V:V,'[16]项目支出总表（开）'!C:C,MID(TRIM(A163),2,7))</f>
        <v>#VALUE!</v>
      </c>
    </row>
    <row r="164" s="1" customFormat="1" ht="21.75" customHeight="1" spans="1:21">
      <c r="A164" s="510" t="s">
        <v>211</v>
      </c>
      <c r="B164" s="511">
        <f t="shared" ref="B164:I164" si="168">B165+B169+B172+B177+B180+B182+B185+B187+B192</f>
        <v>8790.016165</v>
      </c>
      <c r="C164" s="511">
        <f t="shared" si="168"/>
        <v>1928.166165</v>
      </c>
      <c r="D164" s="511">
        <f t="shared" si="168"/>
        <v>1640.901891</v>
      </c>
      <c r="E164" s="511">
        <f t="shared" si="168"/>
        <v>287.264274</v>
      </c>
      <c r="F164" s="511">
        <f t="shared" si="168"/>
        <v>6861.85</v>
      </c>
      <c r="G164" s="511" t="e">
        <f t="shared" si="168"/>
        <v>#VALUE!</v>
      </c>
      <c r="H164" s="511" t="e">
        <f t="shared" si="168"/>
        <v>#VALUE!</v>
      </c>
      <c r="I164" s="511" t="e">
        <f t="shared" si="168"/>
        <v>#VALUE!</v>
      </c>
      <c r="J164" s="522" t="e">
        <f t="shared" si="137"/>
        <v>#VALUE!</v>
      </c>
      <c r="K164" s="522" t="e">
        <f t="shared" si="138"/>
        <v>#VALUE!</v>
      </c>
      <c r="L164" s="522" t="e">
        <f t="shared" si="139"/>
        <v>#VALUE!</v>
      </c>
      <c r="O164" s="153"/>
      <c r="S164" s="511" t="e">
        <f t="shared" ref="S164:U164" si="169">S165+S169+S172+S177+S180+S182+S185+S187+S192</f>
        <v>#VALUE!</v>
      </c>
      <c r="T164" s="511" t="e">
        <f t="shared" si="169"/>
        <v>#VALUE!</v>
      </c>
      <c r="U164" s="511" t="e">
        <f t="shared" si="169"/>
        <v>#VALUE!</v>
      </c>
    </row>
    <row r="165" s="1" customFormat="1" ht="21.75" customHeight="1" spans="1:21">
      <c r="A165" s="512" t="s">
        <v>212</v>
      </c>
      <c r="B165" s="513">
        <f t="shared" ref="B165:I165" si="170">SUM(B166:B168)</f>
        <v>550.598754</v>
      </c>
      <c r="C165" s="513">
        <f t="shared" si="170"/>
        <v>271.958754</v>
      </c>
      <c r="D165" s="513">
        <f t="shared" si="170"/>
        <v>248.834501</v>
      </c>
      <c r="E165" s="513">
        <f t="shared" si="170"/>
        <v>23.124253</v>
      </c>
      <c r="F165" s="513">
        <f t="shared" si="170"/>
        <v>278.64</v>
      </c>
      <c r="G165" s="513" t="e">
        <f t="shared" si="170"/>
        <v>#VALUE!</v>
      </c>
      <c r="H165" s="513" t="e">
        <f t="shared" si="170"/>
        <v>#VALUE!</v>
      </c>
      <c r="I165" s="513" t="e">
        <f t="shared" si="170"/>
        <v>#VALUE!</v>
      </c>
      <c r="J165" s="523" t="e">
        <f t="shared" si="137"/>
        <v>#VALUE!</v>
      </c>
      <c r="K165" s="523" t="e">
        <f t="shared" si="138"/>
        <v>#VALUE!</v>
      </c>
      <c r="L165" s="523" t="e">
        <f t="shared" si="139"/>
        <v>#VALUE!</v>
      </c>
      <c r="O165" s="153"/>
      <c r="S165" s="513" t="e">
        <f t="shared" ref="S165:U165" si="171">SUM(S166:S168)</f>
        <v>#VALUE!</v>
      </c>
      <c r="T165" s="513" t="e">
        <f t="shared" si="171"/>
        <v>#VALUE!</v>
      </c>
      <c r="U165" s="513" t="e">
        <f t="shared" si="171"/>
        <v>#VALUE!</v>
      </c>
    </row>
    <row r="166" s="1" customFormat="1" ht="21.75" customHeight="1" spans="1:21">
      <c r="A166" s="514" t="s">
        <v>213</v>
      </c>
      <c r="B166" s="515">
        <v>271.958754</v>
      </c>
      <c r="C166" s="515">
        <v>271.958754</v>
      </c>
      <c r="D166" s="515">
        <v>248.834501</v>
      </c>
      <c r="E166" s="515">
        <v>23.124253</v>
      </c>
      <c r="F166" s="515"/>
      <c r="G166" s="515" t="e">
        <f t="shared" si="164"/>
        <v>#VALUE!</v>
      </c>
      <c r="H166" s="515" t="e">
        <f>SUMIFS('[16]基本支出总表（开）'!P:P,'[16]基本支出总表（开）'!C:C,MID(A166,4,7))</f>
        <v>#VALUE!</v>
      </c>
      <c r="I166" s="515" t="e">
        <f>SUMIFS('[16]项目支出总表（开）'!Y:Y,'[16]项目支出总表（开）'!C:C,MID(A166,4,7))+SUMIFS('[16]项目支出总表（开）'!Z:Z,'[16]项目支出总表（开）'!C:C,MID(A166,4,7))</f>
        <v>#VALUE!</v>
      </c>
      <c r="J166" s="524" t="e">
        <f t="shared" si="137"/>
        <v>#VALUE!</v>
      </c>
      <c r="K166" s="524" t="e">
        <f t="shared" si="138"/>
        <v>#VALUE!</v>
      </c>
      <c r="L166" s="524" t="str">
        <f t="shared" si="139"/>
        <v/>
      </c>
      <c r="O166" s="153"/>
      <c r="S166" s="515" t="e">
        <f t="shared" si="165"/>
        <v>#VALUE!</v>
      </c>
      <c r="T166" s="515" t="e">
        <f>SUMIFS('[16]基本支出总表（开）'!M:M,'[16]基本支出总表（开）'!C:C,MID(TRIM(A166),2,7))</f>
        <v>#VALUE!</v>
      </c>
      <c r="U166" s="515" t="e">
        <f>SUMIFS('[16]项目支出总表（开）'!V:V,'[16]项目支出总表（开）'!C:C,MID(TRIM(A166),2,7))</f>
        <v>#VALUE!</v>
      </c>
    </row>
    <row r="167" s="1" customFormat="1" ht="21.75" customHeight="1" spans="1:21">
      <c r="A167" s="514" t="s">
        <v>214</v>
      </c>
      <c r="B167" s="515">
        <v>144</v>
      </c>
      <c r="C167" s="515"/>
      <c r="D167" s="515"/>
      <c r="E167" s="515"/>
      <c r="F167" s="515">
        <v>144</v>
      </c>
      <c r="G167" s="515" t="e">
        <f t="shared" si="164"/>
        <v>#VALUE!</v>
      </c>
      <c r="H167" s="515" t="e">
        <f>SUMIFS('[16]基本支出总表（开）'!P:P,'[16]基本支出总表（开）'!C:C,MID(A167,4,7))</f>
        <v>#VALUE!</v>
      </c>
      <c r="I167" s="515" t="e">
        <f>SUMIFS('[16]项目支出总表（开）'!Y:Y,'[16]项目支出总表（开）'!C:C,MID(A167,4,7))+SUMIFS('[16]项目支出总表（开）'!Z:Z,'[16]项目支出总表（开）'!C:C,MID(A167,4,7))</f>
        <v>#VALUE!</v>
      </c>
      <c r="J167" s="524" t="e">
        <f t="shared" si="137"/>
        <v>#VALUE!</v>
      </c>
      <c r="K167" s="524" t="str">
        <f t="shared" si="138"/>
        <v/>
      </c>
      <c r="L167" s="524" t="e">
        <f t="shared" si="139"/>
        <v>#VALUE!</v>
      </c>
      <c r="O167" s="153"/>
      <c r="S167" s="515" t="e">
        <f t="shared" si="165"/>
        <v>#VALUE!</v>
      </c>
      <c r="T167" s="515" t="e">
        <f>SUMIFS('[16]基本支出总表（开）'!M:M,'[16]基本支出总表（开）'!C:C,MID(TRIM(A167),2,7))</f>
        <v>#VALUE!</v>
      </c>
      <c r="U167" s="515" t="e">
        <f>SUMIFS('[16]项目支出总表（开）'!V:V,'[16]项目支出总表（开）'!C:C,MID(TRIM(A167),2,7))</f>
        <v>#VALUE!</v>
      </c>
    </row>
    <row r="168" s="1" customFormat="1" ht="21.75" customHeight="1" spans="1:21">
      <c r="A168" s="514" t="s">
        <v>215</v>
      </c>
      <c r="B168" s="515">
        <v>134.64</v>
      </c>
      <c r="C168" s="515"/>
      <c r="D168" s="515"/>
      <c r="E168" s="515"/>
      <c r="F168" s="515">
        <v>134.64</v>
      </c>
      <c r="G168" s="515" t="e">
        <f t="shared" si="164"/>
        <v>#VALUE!</v>
      </c>
      <c r="H168" s="515" t="e">
        <f>SUMIFS('[16]基本支出总表（开）'!P:P,'[16]基本支出总表（开）'!C:C,MID(A168,4,7))</f>
        <v>#VALUE!</v>
      </c>
      <c r="I168" s="515" t="e">
        <f>SUMIFS('[16]项目支出总表（开）'!Y:Y,'[16]项目支出总表（开）'!C:C,MID(A168,4,7))+SUMIFS('[16]项目支出总表（开）'!Z:Z,'[16]项目支出总表（开）'!C:C,MID(A168,4,7))</f>
        <v>#VALUE!</v>
      </c>
      <c r="J168" s="524" t="e">
        <f t="shared" si="137"/>
        <v>#VALUE!</v>
      </c>
      <c r="K168" s="524" t="str">
        <f t="shared" si="138"/>
        <v/>
      </c>
      <c r="L168" s="524" t="e">
        <f t="shared" si="139"/>
        <v>#VALUE!</v>
      </c>
      <c r="O168" s="153"/>
      <c r="S168" s="515" t="e">
        <f t="shared" si="165"/>
        <v>#VALUE!</v>
      </c>
      <c r="T168" s="515" t="e">
        <f>SUMIFS('[16]基本支出总表（开）'!M:M,'[16]基本支出总表（开）'!C:C,MID(TRIM(A168),2,7))</f>
        <v>#VALUE!</v>
      </c>
      <c r="U168" s="515" t="e">
        <f>SUMIFS('[16]项目支出总表（开）'!V:V,'[16]项目支出总表（开）'!C:C,MID(TRIM(A168),2,7))</f>
        <v>#VALUE!</v>
      </c>
    </row>
    <row r="169" s="1" customFormat="1" ht="21.75" customHeight="1" spans="1:21">
      <c r="A169" s="512" t="s">
        <v>216</v>
      </c>
      <c r="B169" s="513">
        <f t="shared" ref="B169:I169" si="172">SUM(B170:B171)</f>
        <v>1734.72782</v>
      </c>
      <c r="C169" s="513">
        <f t="shared" si="172"/>
        <v>1426.72782</v>
      </c>
      <c r="D169" s="513">
        <f t="shared" si="172"/>
        <v>1182.553361</v>
      </c>
      <c r="E169" s="513">
        <f t="shared" si="172"/>
        <v>244.174459</v>
      </c>
      <c r="F169" s="513">
        <f t="shared" si="172"/>
        <v>308</v>
      </c>
      <c r="G169" s="513" t="e">
        <f t="shared" si="172"/>
        <v>#VALUE!</v>
      </c>
      <c r="H169" s="513" t="e">
        <f t="shared" si="172"/>
        <v>#VALUE!</v>
      </c>
      <c r="I169" s="513" t="e">
        <f t="shared" si="172"/>
        <v>#VALUE!</v>
      </c>
      <c r="J169" s="523" t="e">
        <f t="shared" si="137"/>
        <v>#VALUE!</v>
      </c>
      <c r="K169" s="523" t="e">
        <f t="shared" si="138"/>
        <v>#VALUE!</v>
      </c>
      <c r="L169" s="523" t="e">
        <f t="shared" si="139"/>
        <v>#VALUE!</v>
      </c>
      <c r="O169" s="153"/>
      <c r="S169" s="513" t="e">
        <f t="shared" ref="S169:U169" si="173">SUM(S170:S171)</f>
        <v>#VALUE!</v>
      </c>
      <c r="T169" s="513" t="e">
        <f t="shared" si="173"/>
        <v>#VALUE!</v>
      </c>
      <c r="U169" s="513" t="e">
        <f t="shared" si="173"/>
        <v>#VALUE!</v>
      </c>
    </row>
    <row r="170" s="1" customFormat="1" ht="21.75" customHeight="1" spans="1:21">
      <c r="A170" s="514" t="s">
        <v>218</v>
      </c>
      <c r="B170" s="515">
        <v>1473.72782</v>
      </c>
      <c r="C170" s="515">
        <v>1426.72782</v>
      </c>
      <c r="D170" s="515">
        <v>1182.553361</v>
      </c>
      <c r="E170" s="515">
        <v>244.174459</v>
      </c>
      <c r="F170" s="515">
        <v>47</v>
      </c>
      <c r="G170" s="515" t="e">
        <f t="shared" ref="G170:G176" si="174">SUM(H170:I170)</f>
        <v>#VALUE!</v>
      </c>
      <c r="H170" s="515" t="e">
        <f>SUMIFS('[16]基本支出总表（开）'!P:P,'[16]基本支出总表（开）'!C:C,MID(A170,4,7))</f>
        <v>#VALUE!</v>
      </c>
      <c r="I170" s="515" t="e">
        <f>SUMIFS('[16]项目支出总表（开）'!Y:Y,'[16]项目支出总表（开）'!C:C,MID(A170,4,7))+SUMIFS('[16]项目支出总表（开）'!Z:Z,'[16]项目支出总表（开）'!C:C,MID(A170,4,7))</f>
        <v>#VALUE!</v>
      </c>
      <c r="J170" s="524" t="e">
        <f t="shared" si="137"/>
        <v>#VALUE!</v>
      </c>
      <c r="K170" s="524" t="e">
        <f t="shared" si="138"/>
        <v>#VALUE!</v>
      </c>
      <c r="L170" s="524" t="e">
        <f t="shared" si="139"/>
        <v>#VALUE!</v>
      </c>
      <c r="O170" s="153"/>
      <c r="S170" s="515" t="e">
        <f t="shared" ref="S170:S176" si="175">SUM(T170:U170)</f>
        <v>#VALUE!</v>
      </c>
      <c r="T170" s="515" t="e">
        <f>SUMIFS('[16]基本支出总表（开）'!M:M,'[16]基本支出总表（开）'!C:C,MID(TRIM(A170),2,7))</f>
        <v>#VALUE!</v>
      </c>
      <c r="U170" s="515" t="e">
        <f>SUMIFS('[16]项目支出总表（开）'!V:V,'[16]项目支出总表（开）'!C:C,MID(TRIM(A170),2,7))</f>
        <v>#VALUE!</v>
      </c>
    </row>
    <row r="171" s="1" customFormat="1" ht="21.75" customHeight="1" spans="1:21">
      <c r="A171" s="514" t="s">
        <v>219</v>
      </c>
      <c r="B171" s="515">
        <v>261</v>
      </c>
      <c r="C171" s="515"/>
      <c r="D171" s="515"/>
      <c r="E171" s="515"/>
      <c r="F171" s="515">
        <v>261</v>
      </c>
      <c r="G171" s="515" t="e">
        <f t="shared" si="174"/>
        <v>#VALUE!</v>
      </c>
      <c r="H171" s="515" t="e">
        <f>SUMIFS('[16]基本支出总表（开）'!P:P,'[16]基本支出总表（开）'!C:C,MID(A171,4,7))</f>
        <v>#VALUE!</v>
      </c>
      <c r="I171" s="515" t="e">
        <f>SUMIFS('[16]项目支出总表（开）'!Y:Y,'[16]项目支出总表（开）'!C:C,MID(A171,4,7))+SUMIFS('[16]项目支出总表（开）'!Z:Z,'[16]项目支出总表（开）'!C:C,MID(A171,4,7))</f>
        <v>#VALUE!</v>
      </c>
      <c r="J171" s="524" t="e">
        <f t="shared" si="137"/>
        <v>#VALUE!</v>
      </c>
      <c r="K171" s="524" t="str">
        <f t="shared" si="138"/>
        <v/>
      </c>
      <c r="L171" s="524" t="e">
        <f t="shared" si="139"/>
        <v>#VALUE!</v>
      </c>
      <c r="O171" s="153"/>
      <c r="S171" s="515" t="e">
        <f t="shared" si="175"/>
        <v>#VALUE!</v>
      </c>
      <c r="T171" s="515" t="e">
        <f>SUMIFS('[16]基本支出总表（开）'!M:M,'[16]基本支出总表（开）'!C:C,MID(TRIM(A171),2,7))</f>
        <v>#VALUE!</v>
      </c>
      <c r="U171" s="515" t="e">
        <f>SUMIFS('[16]项目支出总表（开）'!V:V,'[16]项目支出总表（开）'!C:C,MID(TRIM(A171),2,7))</f>
        <v>#VALUE!</v>
      </c>
    </row>
    <row r="172" s="1" customFormat="1" ht="21.75" customHeight="1" spans="1:21">
      <c r="A172" s="512" t="s">
        <v>220</v>
      </c>
      <c r="B172" s="513">
        <f t="shared" ref="B172:I172" si="176">SUM(B173:B176)</f>
        <v>2310.876796</v>
      </c>
      <c r="C172" s="513">
        <f t="shared" si="176"/>
        <v>105.366796</v>
      </c>
      <c r="D172" s="513">
        <f t="shared" si="176"/>
        <v>97.142187</v>
      </c>
      <c r="E172" s="513">
        <f t="shared" si="176"/>
        <v>8.224609</v>
      </c>
      <c r="F172" s="513">
        <f t="shared" si="176"/>
        <v>2205.51</v>
      </c>
      <c r="G172" s="513" t="e">
        <f t="shared" si="176"/>
        <v>#VALUE!</v>
      </c>
      <c r="H172" s="513" t="e">
        <f t="shared" si="176"/>
        <v>#VALUE!</v>
      </c>
      <c r="I172" s="513" t="e">
        <f t="shared" si="176"/>
        <v>#VALUE!</v>
      </c>
      <c r="J172" s="523" t="e">
        <f t="shared" si="137"/>
        <v>#VALUE!</v>
      </c>
      <c r="K172" s="523" t="e">
        <f t="shared" si="138"/>
        <v>#VALUE!</v>
      </c>
      <c r="L172" s="523" t="e">
        <f t="shared" si="139"/>
        <v>#VALUE!</v>
      </c>
      <c r="O172" s="153"/>
      <c r="S172" s="513" t="e">
        <f t="shared" ref="S172:U172" si="177">SUM(S173:S176)</f>
        <v>#VALUE!</v>
      </c>
      <c r="T172" s="513" t="e">
        <f t="shared" si="177"/>
        <v>#VALUE!</v>
      </c>
      <c r="U172" s="513" t="e">
        <f t="shared" si="177"/>
        <v>#VALUE!</v>
      </c>
    </row>
    <row r="173" s="1" customFormat="1" ht="21.75" customHeight="1" spans="1:21">
      <c r="A173" s="514" t="s">
        <v>221</v>
      </c>
      <c r="B173" s="515">
        <v>533.12</v>
      </c>
      <c r="C173" s="515"/>
      <c r="D173" s="515"/>
      <c r="E173" s="515"/>
      <c r="F173" s="515">
        <v>533.12</v>
      </c>
      <c r="G173" s="515" t="e">
        <f t="shared" si="174"/>
        <v>#VALUE!</v>
      </c>
      <c r="H173" s="515" t="e">
        <f>SUMIFS('[16]基本支出总表（开）'!P:P,'[16]基本支出总表（开）'!C:C,MID(A173,4,7))</f>
        <v>#VALUE!</v>
      </c>
      <c r="I173" s="515" t="e">
        <f>SUMIFS('[16]项目支出总表（开）'!Y:Y,'[16]项目支出总表（开）'!C:C,MID(A173,4,7))+SUMIFS('[16]项目支出总表（开）'!Z:Z,'[16]项目支出总表（开）'!C:C,MID(A173,4,7))</f>
        <v>#VALUE!</v>
      </c>
      <c r="J173" s="524" t="e">
        <f t="shared" si="137"/>
        <v>#VALUE!</v>
      </c>
      <c r="K173" s="524" t="str">
        <f t="shared" si="138"/>
        <v/>
      </c>
      <c r="L173" s="524" t="e">
        <f t="shared" si="139"/>
        <v>#VALUE!</v>
      </c>
      <c r="O173" s="153"/>
      <c r="S173" s="515" t="e">
        <f t="shared" si="175"/>
        <v>#VALUE!</v>
      </c>
      <c r="T173" s="515" t="e">
        <f>SUMIFS('[16]基本支出总表（开）'!M:M,'[16]基本支出总表（开）'!C:C,MID(TRIM(A173),2,7))</f>
        <v>#VALUE!</v>
      </c>
      <c r="U173" s="515" t="e">
        <f>SUMIFS('[16]项目支出总表（开）'!V:V,'[16]项目支出总表（开）'!C:C,MID(TRIM(A173),2,7))</f>
        <v>#VALUE!</v>
      </c>
    </row>
    <row r="174" s="1" customFormat="1" ht="21.75" customHeight="1" spans="1:21">
      <c r="A174" s="514" t="s">
        <v>222</v>
      </c>
      <c r="B174" s="515">
        <v>42.39</v>
      </c>
      <c r="C174" s="515"/>
      <c r="D174" s="515"/>
      <c r="E174" s="515"/>
      <c r="F174" s="515">
        <v>42.39</v>
      </c>
      <c r="G174" s="515" t="e">
        <f t="shared" si="174"/>
        <v>#VALUE!</v>
      </c>
      <c r="H174" s="515" t="e">
        <f>SUMIFS('[16]基本支出总表（开）'!P:P,'[16]基本支出总表（开）'!C:C,MID(A174,4,7))</f>
        <v>#VALUE!</v>
      </c>
      <c r="I174" s="515" t="e">
        <f>SUMIFS('[16]项目支出总表（开）'!Y:Y,'[16]项目支出总表（开）'!C:C,MID(A174,4,7))+SUMIFS('[16]项目支出总表（开）'!Z:Z,'[16]项目支出总表（开）'!C:C,MID(A174,4,7))</f>
        <v>#VALUE!</v>
      </c>
      <c r="J174" s="524" t="e">
        <f t="shared" si="137"/>
        <v>#VALUE!</v>
      </c>
      <c r="K174" s="524" t="str">
        <f t="shared" si="138"/>
        <v/>
      </c>
      <c r="L174" s="524" t="e">
        <f t="shared" si="139"/>
        <v>#VALUE!</v>
      </c>
      <c r="O174" s="153"/>
      <c r="S174" s="515" t="e">
        <f t="shared" si="175"/>
        <v>#VALUE!</v>
      </c>
      <c r="T174" s="515" t="e">
        <f>SUMIFS('[16]基本支出总表（开）'!M:M,'[16]基本支出总表（开）'!C:C,MID(TRIM(A174),2,7))</f>
        <v>#VALUE!</v>
      </c>
      <c r="U174" s="515" t="e">
        <f>SUMIFS('[16]项目支出总表（开）'!V:V,'[16]项目支出总表（开）'!C:C,MID(TRIM(A174),2,7))</f>
        <v>#VALUE!</v>
      </c>
    </row>
    <row r="175" s="1" customFormat="1" ht="21.75" customHeight="1" spans="1:21">
      <c r="A175" s="514" t="s">
        <v>223</v>
      </c>
      <c r="B175" s="515">
        <v>1600</v>
      </c>
      <c r="C175" s="515"/>
      <c r="D175" s="515"/>
      <c r="E175" s="515"/>
      <c r="F175" s="515">
        <v>1600</v>
      </c>
      <c r="G175" s="515" t="e">
        <f t="shared" si="174"/>
        <v>#VALUE!</v>
      </c>
      <c r="H175" s="515" t="e">
        <f>SUMIFS('[16]基本支出总表（开）'!P:P,'[16]基本支出总表（开）'!C:C,MID(A175,4,7))</f>
        <v>#VALUE!</v>
      </c>
      <c r="I175" s="515" t="e">
        <f>SUMIFS('[16]项目支出总表（开）'!Y:Y,'[16]项目支出总表（开）'!C:C,MID(A175,4,7))+SUMIFS('[16]项目支出总表（开）'!Z:Z,'[16]项目支出总表（开）'!C:C,MID(A175,4,7))</f>
        <v>#VALUE!</v>
      </c>
      <c r="J175" s="524" t="e">
        <f t="shared" si="137"/>
        <v>#VALUE!</v>
      </c>
      <c r="K175" s="524" t="str">
        <f t="shared" si="138"/>
        <v/>
      </c>
      <c r="L175" s="524" t="e">
        <f t="shared" si="139"/>
        <v>#VALUE!</v>
      </c>
      <c r="O175" s="153"/>
      <c r="S175" s="515" t="e">
        <f t="shared" si="175"/>
        <v>#VALUE!</v>
      </c>
      <c r="T175" s="515" t="e">
        <f>SUMIFS('[16]基本支出总表（开）'!M:M,'[16]基本支出总表（开）'!C:C,MID(TRIM(A175),2,7))</f>
        <v>#VALUE!</v>
      </c>
      <c r="U175" s="515" t="e">
        <f>SUMIFS('[16]项目支出总表（开）'!V:V,'[16]项目支出总表（开）'!C:C,MID(TRIM(A175),2,7))</f>
        <v>#VALUE!</v>
      </c>
    </row>
    <row r="176" s="1" customFormat="1" ht="21.75" customHeight="1" spans="1:21">
      <c r="A176" s="514" t="s">
        <v>224</v>
      </c>
      <c r="B176" s="515">
        <v>135.366796</v>
      </c>
      <c r="C176" s="515">
        <v>105.366796</v>
      </c>
      <c r="D176" s="515">
        <v>97.142187</v>
      </c>
      <c r="E176" s="515">
        <v>8.224609</v>
      </c>
      <c r="F176" s="515">
        <v>30</v>
      </c>
      <c r="G176" s="515" t="e">
        <f t="shared" si="174"/>
        <v>#VALUE!</v>
      </c>
      <c r="H176" s="515" t="e">
        <f>SUMIFS('[16]基本支出总表（开）'!P:P,'[16]基本支出总表（开）'!C:C,MID(A176,4,7))</f>
        <v>#VALUE!</v>
      </c>
      <c r="I176" s="515" t="e">
        <f>SUMIFS('[16]项目支出总表（开）'!Y:Y,'[16]项目支出总表（开）'!C:C,MID(A176,4,7))+SUMIFS('[16]项目支出总表（开）'!Z:Z,'[16]项目支出总表（开）'!C:C,MID(A176,4,7))</f>
        <v>#VALUE!</v>
      </c>
      <c r="J176" s="524" t="e">
        <f t="shared" si="137"/>
        <v>#VALUE!</v>
      </c>
      <c r="K176" s="524" t="e">
        <f t="shared" si="138"/>
        <v>#VALUE!</v>
      </c>
      <c r="L176" s="524" t="e">
        <f t="shared" si="139"/>
        <v>#VALUE!</v>
      </c>
      <c r="O176" s="153"/>
      <c r="S176" s="515" t="e">
        <f t="shared" si="175"/>
        <v>#VALUE!</v>
      </c>
      <c r="T176" s="515" t="e">
        <f>SUMIFS('[16]基本支出总表（开）'!M:M,'[16]基本支出总表（开）'!C:C,MID(TRIM(A176),2,7))</f>
        <v>#VALUE!</v>
      </c>
      <c r="U176" s="515" t="e">
        <f>SUMIFS('[16]项目支出总表（开）'!V:V,'[16]项目支出总表（开）'!C:C,MID(TRIM(A176),2,7))</f>
        <v>#VALUE!</v>
      </c>
    </row>
    <row r="177" s="1" customFormat="1" ht="21.75" customHeight="1" spans="1:21">
      <c r="A177" s="512" t="s">
        <v>225</v>
      </c>
      <c r="B177" s="513">
        <f t="shared" ref="B177:I177" si="178">SUM(B178:B179)</f>
        <v>430</v>
      </c>
      <c r="C177" s="513">
        <f t="shared" si="178"/>
        <v>0</v>
      </c>
      <c r="D177" s="513">
        <f t="shared" si="178"/>
        <v>0</v>
      </c>
      <c r="E177" s="513">
        <f t="shared" si="178"/>
        <v>0</v>
      </c>
      <c r="F177" s="513">
        <f t="shared" si="178"/>
        <v>430</v>
      </c>
      <c r="G177" s="513" t="e">
        <f t="shared" si="178"/>
        <v>#VALUE!</v>
      </c>
      <c r="H177" s="513" t="e">
        <f t="shared" si="178"/>
        <v>#VALUE!</v>
      </c>
      <c r="I177" s="513" t="e">
        <f t="shared" si="178"/>
        <v>#VALUE!</v>
      </c>
      <c r="J177" s="523" t="e">
        <f t="shared" si="137"/>
        <v>#VALUE!</v>
      </c>
      <c r="K177" s="523" t="str">
        <f t="shared" si="138"/>
        <v/>
      </c>
      <c r="L177" s="523" t="e">
        <f t="shared" si="139"/>
        <v>#VALUE!</v>
      </c>
      <c r="O177" s="153"/>
      <c r="S177" s="513" t="e">
        <f t="shared" ref="S177:U177" si="179">SUM(S178:S179)</f>
        <v>#VALUE!</v>
      </c>
      <c r="T177" s="513" t="e">
        <f t="shared" si="179"/>
        <v>#VALUE!</v>
      </c>
      <c r="U177" s="513" t="e">
        <f t="shared" si="179"/>
        <v>#VALUE!</v>
      </c>
    </row>
    <row r="178" s="1" customFormat="1" ht="21.75" customHeight="1" spans="1:21">
      <c r="A178" s="514" t="s">
        <v>226</v>
      </c>
      <c r="B178" s="515">
        <v>300</v>
      </c>
      <c r="C178" s="515"/>
      <c r="D178" s="515"/>
      <c r="E178" s="515"/>
      <c r="F178" s="515">
        <v>300</v>
      </c>
      <c r="G178" s="515" t="e">
        <f t="shared" ref="G178:G181" si="180">SUM(H178:I178)</f>
        <v>#VALUE!</v>
      </c>
      <c r="H178" s="515" t="e">
        <f>SUMIFS('[16]基本支出总表（开）'!P:P,'[16]基本支出总表（开）'!C:C,MID(A178,4,7))</f>
        <v>#VALUE!</v>
      </c>
      <c r="I178" s="515" t="e">
        <f>SUMIFS('[16]项目支出总表（开）'!Y:Y,'[16]项目支出总表（开）'!C:C,MID(A178,4,7))+SUMIFS('[16]项目支出总表（开）'!Z:Z,'[16]项目支出总表（开）'!C:C,MID(A178,4,7))</f>
        <v>#VALUE!</v>
      </c>
      <c r="J178" s="524" t="e">
        <f t="shared" si="137"/>
        <v>#VALUE!</v>
      </c>
      <c r="K178" s="524" t="str">
        <f t="shared" si="138"/>
        <v/>
      </c>
      <c r="L178" s="524" t="e">
        <f t="shared" si="139"/>
        <v>#VALUE!</v>
      </c>
      <c r="O178" s="153"/>
      <c r="S178" s="515" t="e">
        <f t="shared" ref="S178:S181" si="181">SUM(T178:U178)</f>
        <v>#VALUE!</v>
      </c>
      <c r="T178" s="515" t="e">
        <f>SUMIFS('[16]基本支出总表（开）'!M:M,'[16]基本支出总表（开）'!C:C,MID(TRIM(A178),2,7))</f>
        <v>#VALUE!</v>
      </c>
      <c r="U178" s="515" t="e">
        <f>SUMIFS('[16]项目支出总表（开）'!V:V,'[16]项目支出总表（开）'!C:C,MID(TRIM(A178),2,7))</f>
        <v>#VALUE!</v>
      </c>
    </row>
    <row r="179" s="1" customFormat="1" ht="21.75" customHeight="1" spans="1:21">
      <c r="A179" s="514" t="s">
        <v>227</v>
      </c>
      <c r="B179" s="515">
        <v>130</v>
      </c>
      <c r="C179" s="515"/>
      <c r="D179" s="515"/>
      <c r="E179" s="515"/>
      <c r="F179" s="515">
        <v>130</v>
      </c>
      <c r="G179" s="515" t="e">
        <f t="shared" si="180"/>
        <v>#VALUE!</v>
      </c>
      <c r="H179" s="515" t="e">
        <f>SUMIFS('[16]基本支出总表（开）'!P:P,'[16]基本支出总表（开）'!C:C,MID(A179,4,7))</f>
        <v>#VALUE!</v>
      </c>
      <c r="I179" s="515" t="e">
        <f>SUMIFS('[16]项目支出总表（开）'!Y:Y,'[16]项目支出总表（开）'!C:C,MID(A179,4,7))+SUMIFS('[16]项目支出总表（开）'!Z:Z,'[16]项目支出总表（开）'!C:C,MID(A179,4,7))</f>
        <v>#VALUE!</v>
      </c>
      <c r="J179" s="524" t="e">
        <f t="shared" si="137"/>
        <v>#VALUE!</v>
      </c>
      <c r="K179" s="524" t="str">
        <f t="shared" si="138"/>
        <v/>
      </c>
      <c r="L179" s="524" t="e">
        <f t="shared" si="139"/>
        <v>#VALUE!</v>
      </c>
      <c r="O179" s="153"/>
      <c r="S179" s="515" t="e">
        <f t="shared" si="181"/>
        <v>#VALUE!</v>
      </c>
      <c r="T179" s="515" t="e">
        <f>SUMIFS('[16]基本支出总表（开）'!M:M,'[16]基本支出总表（开）'!C:C,MID(TRIM(A179),2,7))</f>
        <v>#VALUE!</v>
      </c>
      <c r="U179" s="515" t="e">
        <f>SUMIFS('[16]项目支出总表（开）'!V:V,'[16]项目支出总表（开）'!C:C,MID(TRIM(A179),2,7))</f>
        <v>#VALUE!</v>
      </c>
    </row>
    <row r="180" s="1" customFormat="1" ht="21.75" customHeight="1" spans="1:21">
      <c r="A180" s="512" t="s">
        <v>228</v>
      </c>
      <c r="B180" s="513">
        <f t="shared" ref="B180:I180" si="182">SUM(B181)</f>
        <v>1903</v>
      </c>
      <c r="C180" s="513">
        <f t="shared" si="182"/>
        <v>0</v>
      </c>
      <c r="D180" s="513">
        <f t="shared" si="182"/>
        <v>0</v>
      </c>
      <c r="E180" s="513">
        <f t="shared" si="182"/>
        <v>0</v>
      </c>
      <c r="F180" s="513">
        <f t="shared" si="182"/>
        <v>1903</v>
      </c>
      <c r="G180" s="513" t="e">
        <f t="shared" si="182"/>
        <v>#VALUE!</v>
      </c>
      <c r="H180" s="513" t="e">
        <f t="shared" si="182"/>
        <v>#VALUE!</v>
      </c>
      <c r="I180" s="513" t="e">
        <f t="shared" si="182"/>
        <v>#VALUE!</v>
      </c>
      <c r="J180" s="523" t="e">
        <f t="shared" si="137"/>
        <v>#VALUE!</v>
      </c>
      <c r="K180" s="523" t="str">
        <f t="shared" si="138"/>
        <v/>
      </c>
      <c r="L180" s="523" t="e">
        <f t="shared" si="139"/>
        <v>#VALUE!</v>
      </c>
      <c r="O180" s="153"/>
      <c r="S180" s="513" t="e">
        <f t="shared" ref="S180:U180" si="183">SUM(S181)</f>
        <v>#VALUE!</v>
      </c>
      <c r="T180" s="513" t="e">
        <f t="shared" si="183"/>
        <v>#VALUE!</v>
      </c>
      <c r="U180" s="513" t="e">
        <f t="shared" si="183"/>
        <v>#VALUE!</v>
      </c>
    </row>
    <row r="181" s="1" customFormat="1" ht="21.75" customHeight="1" spans="1:21">
      <c r="A181" s="514" t="s">
        <v>229</v>
      </c>
      <c r="B181" s="515">
        <v>1903</v>
      </c>
      <c r="C181" s="515"/>
      <c r="D181" s="515"/>
      <c r="E181" s="515"/>
      <c r="F181" s="515">
        <v>1903</v>
      </c>
      <c r="G181" s="515" t="e">
        <f t="shared" si="180"/>
        <v>#VALUE!</v>
      </c>
      <c r="H181" s="515" t="e">
        <f>SUMIFS('[16]基本支出总表（开）'!P:P,'[16]基本支出总表（开）'!C:C,MID(A181,4,7))</f>
        <v>#VALUE!</v>
      </c>
      <c r="I181" s="515" t="e">
        <f>SUMIFS('[16]项目支出总表（开）'!Y:Y,'[16]项目支出总表（开）'!C:C,MID(A181,4,7))+SUMIFS('[16]项目支出总表（开）'!Z:Z,'[16]项目支出总表（开）'!C:C,MID(A181,4,7))</f>
        <v>#VALUE!</v>
      </c>
      <c r="J181" s="524" t="e">
        <f t="shared" si="137"/>
        <v>#VALUE!</v>
      </c>
      <c r="K181" s="524" t="str">
        <f t="shared" si="138"/>
        <v/>
      </c>
      <c r="L181" s="524" t="e">
        <f t="shared" si="139"/>
        <v>#VALUE!</v>
      </c>
      <c r="O181" s="153"/>
      <c r="S181" s="515" t="e">
        <f t="shared" si="181"/>
        <v>#VALUE!</v>
      </c>
      <c r="T181" s="515" t="e">
        <f>SUMIFS('[16]基本支出总表（开）'!M:M,'[16]基本支出总表（开）'!C:C,MID(TRIM(A181),2,7))</f>
        <v>#VALUE!</v>
      </c>
      <c r="U181" s="515" t="e">
        <f>SUMIFS('[16]项目支出总表（开）'!V:V,'[16]项目支出总表（开）'!C:C,MID(TRIM(A181),2,7))</f>
        <v>#VALUE!</v>
      </c>
    </row>
    <row r="182" s="1" customFormat="1" ht="21.75" customHeight="1" spans="1:21">
      <c r="A182" s="512" t="s">
        <v>230</v>
      </c>
      <c r="B182" s="513">
        <f t="shared" ref="B182:I182" si="184">SUM(B183:B184)</f>
        <v>1640</v>
      </c>
      <c r="C182" s="513">
        <f t="shared" si="184"/>
        <v>0</v>
      </c>
      <c r="D182" s="513">
        <f t="shared" si="184"/>
        <v>0</v>
      </c>
      <c r="E182" s="513">
        <f t="shared" si="184"/>
        <v>0</v>
      </c>
      <c r="F182" s="513">
        <f t="shared" si="184"/>
        <v>1640</v>
      </c>
      <c r="G182" s="513" t="e">
        <f t="shared" si="184"/>
        <v>#VALUE!</v>
      </c>
      <c r="H182" s="513" t="e">
        <f t="shared" si="184"/>
        <v>#VALUE!</v>
      </c>
      <c r="I182" s="513" t="e">
        <f t="shared" si="184"/>
        <v>#VALUE!</v>
      </c>
      <c r="J182" s="523" t="e">
        <f t="shared" si="137"/>
        <v>#VALUE!</v>
      </c>
      <c r="K182" s="523" t="str">
        <f t="shared" si="138"/>
        <v/>
      </c>
      <c r="L182" s="523" t="e">
        <f t="shared" si="139"/>
        <v>#VALUE!</v>
      </c>
      <c r="O182" s="153"/>
      <c r="S182" s="513" t="e">
        <f t="shared" ref="S182:U182" si="185">SUM(S183:S184)</f>
        <v>#VALUE!</v>
      </c>
      <c r="T182" s="513" t="e">
        <f t="shared" si="185"/>
        <v>#VALUE!</v>
      </c>
      <c r="U182" s="513" t="e">
        <f t="shared" si="185"/>
        <v>#VALUE!</v>
      </c>
    </row>
    <row r="183" s="1" customFormat="1" ht="21.75" customHeight="1" spans="1:21">
      <c r="A183" s="514" t="s">
        <v>231</v>
      </c>
      <c r="B183" s="515">
        <v>1640</v>
      </c>
      <c r="C183" s="515"/>
      <c r="D183" s="515"/>
      <c r="E183" s="515"/>
      <c r="F183" s="515">
        <v>1640</v>
      </c>
      <c r="G183" s="515" t="e">
        <f t="shared" ref="G183:G186" si="186">SUM(H183:I183)</f>
        <v>#VALUE!</v>
      </c>
      <c r="H183" s="515" t="e">
        <f>SUMIFS('[16]基本支出总表（开）'!P:P,'[16]基本支出总表（开）'!C:C,MID(A183,4,7))</f>
        <v>#VALUE!</v>
      </c>
      <c r="I183" s="515" t="e">
        <f>SUMIFS('[16]项目支出总表（开）'!Y:Y,'[16]项目支出总表（开）'!C:C,MID(A183,4,7))+SUMIFS('[16]项目支出总表（开）'!Z:Z,'[16]项目支出总表（开）'!C:C,MID(A183,4,7))</f>
        <v>#VALUE!</v>
      </c>
      <c r="J183" s="524" t="e">
        <f t="shared" si="137"/>
        <v>#VALUE!</v>
      </c>
      <c r="K183" s="524" t="str">
        <f t="shared" si="138"/>
        <v/>
      </c>
      <c r="L183" s="524" t="e">
        <f t="shared" si="139"/>
        <v>#VALUE!</v>
      </c>
      <c r="O183" s="153"/>
      <c r="S183" s="515" t="e">
        <f t="shared" ref="S183:S186" si="187">SUM(T183:U183)</f>
        <v>#VALUE!</v>
      </c>
      <c r="T183" s="515" t="e">
        <f>SUMIFS('[16]基本支出总表（开）'!M:M,'[16]基本支出总表（开）'!C:C,MID(TRIM(A183),2,7))</f>
        <v>#VALUE!</v>
      </c>
      <c r="U183" s="515" t="e">
        <f>SUMIFS('[16]项目支出总表（开）'!V:V,'[16]项目支出总表（开）'!C:C,MID(TRIM(A183),2,7))</f>
        <v>#VALUE!</v>
      </c>
    </row>
    <row r="184" s="1" customFormat="1" ht="21.75" customHeight="1" spans="1:21">
      <c r="A184" s="516" t="s">
        <v>232</v>
      </c>
      <c r="B184" s="515"/>
      <c r="C184" s="515"/>
      <c r="D184" s="515"/>
      <c r="E184" s="515"/>
      <c r="F184" s="515"/>
      <c r="G184" s="515" t="e">
        <f t="shared" si="186"/>
        <v>#VALUE!</v>
      </c>
      <c r="H184" s="515" t="e">
        <f>SUMIFS('[16]基本支出总表（开）'!P:P,'[16]基本支出总表（开）'!C:C,MID(A184,4,7))</f>
        <v>#VALUE!</v>
      </c>
      <c r="I184" s="515" t="e">
        <f>SUMIFS('[16]项目支出总表（开）'!Y:Y,'[16]项目支出总表（开）'!C:C,MID(A184,4,7))+SUMIFS('[16]项目支出总表（开）'!Z:Z,'[16]项目支出总表（开）'!C:C,MID(A184,4,7))</f>
        <v>#VALUE!</v>
      </c>
      <c r="J184" s="524" t="str">
        <f t="shared" si="137"/>
        <v/>
      </c>
      <c r="K184" s="524" t="str">
        <f t="shared" si="138"/>
        <v/>
      </c>
      <c r="L184" s="524" t="str">
        <f t="shared" si="139"/>
        <v/>
      </c>
      <c r="O184" s="153"/>
      <c r="S184" s="515" t="e">
        <f t="shared" si="187"/>
        <v>#VALUE!</v>
      </c>
      <c r="T184" s="515" t="e">
        <f>SUMIFS('[16]基本支出总表（开）'!M:M,'[16]基本支出总表（开）'!C:C,MID(TRIM(A184),2,7))</f>
        <v>#VALUE!</v>
      </c>
      <c r="U184" s="515" t="e">
        <f>SUMIFS('[16]项目支出总表（开）'!V:V,'[16]项目支出总表（开）'!C:C,MID(TRIM(A184),2,7))</f>
        <v>#VALUE!</v>
      </c>
    </row>
    <row r="185" s="1" customFormat="1" ht="21.75" customHeight="1" spans="1:21">
      <c r="A185" s="512" t="s">
        <v>233</v>
      </c>
      <c r="B185" s="513">
        <f t="shared" ref="B185:I185" si="188">SUM(B186)</f>
        <v>30</v>
      </c>
      <c r="C185" s="513">
        <f t="shared" si="188"/>
        <v>0</v>
      </c>
      <c r="D185" s="513">
        <f t="shared" si="188"/>
        <v>0</v>
      </c>
      <c r="E185" s="513">
        <f t="shared" si="188"/>
        <v>0</v>
      </c>
      <c r="F185" s="513">
        <f t="shared" si="188"/>
        <v>30</v>
      </c>
      <c r="G185" s="513" t="e">
        <f t="shared" si="188"/>
        <v>#VALUE!</v>
      </c>
      <c r="H185" s="513" t="e">
        <f t="shared" si="188"/>
        <v>#VALUE!</v>
      </c>
      <c r="I185" s="513" t="e">
        <f t="shared" si="188"/>
        <v>#VALUE!</v>
      </c>
      <c r="J185" s="523" t="e">
        <f t="shared" si="137"/>
        <v>#VALUE!</v>
      </c>
      <c r="K185" s="523" t="str">
        <f t="shared" si="138"/>
        <v/>
      </c>
      <c r="L185" s="523" t="e">
        <f t="shared" si="139"/>
        <v>#VALUE!</v>
      </c>
      <c r="O185" s="153"/>
      <c r="S185" s="513" t="e">
        <f t="shared" ref="S185:U185" si="189">SUM(S186)</f>
        <v>#VALUE!</v>
      </c>
      <c r="T185" s="513" t="e">
        <f t="shared" si="189"/>
        <v>#VALUE!</v>
      </c>
      <c r="U185" s="513" t="e">
        <f t="shared" si="189"/>
        <v>#VALUE!</v>
      </c>
    </row>
    <row r="186" s="1" customFormat="1" ht="21.75" customHeight="1" spans="1:21">
      <c r="A186" s="514" t="s">
        <v>234</v>
      </c>
      <c r="B186" s="515">
        <v>30</v>
      </c>
      <c r="C186" s="515"/>
      <c r="D186" s="515"/>
      <c r="E186" s="515"/>
      <c r="F186" s="515">
        <v>30</v>
      </c>
      <c r="G186" s="515" t="e">
        <f t="shared" si="186"/>
        <v>#VALUE!</v>
      </c>
      <c r="H186" s="515" t="e">
        <f>SUMIFS('[16]基本支出总表（开）'!P:P,'[16]基本支出总表（开）'!C:C,MID(A186,4,7))</f>
        <v>#VALUE!</v>
      </c>
      <c r="I186" s="515" t="e">
        <f>SUMIFS('[16]项目支出总表（开）'!Y:Y,'[16]项目支出总表（开）'!C:C,MID(A186,4,7))+SUMIFS('[16]项目支出总表（开）'!Z:Z,'[16]项目支出总表（开）'!C:C,MID(A186,4,7))</f>
        <v>#VALUE!</v>
      </c>
      <c r="J186" s="524" t="e">
        <f t="shared" si="137"/>
        <v>#VALUE!</v>
      </c>
      <c r="K186" s="524" t="str">
        <f t="shared" si="138"/>
        <v/>
      </c>
      <c r="L186" s="524" t="e">
        <f t="shared" si="139"/>
        <v>#VALUE!</v>
      </c>
      <c r="O186" s="153"/>
      <c r="S186" s="515" t="e">
        <f t="shared" si="187"/>
        <v>#VALUE!</v>
      </c>
      <c r="T186" s="515" t="e">
        <f>SUMIFS('[16]基本支出总表（开）'!M:M,'[16]基本支出总表（开）'!C:C,MID(TRIM(A186),2,7))</f>
        <v>#VALUE!</v>
      </c>
      <c r="U186" s="515" t="e">
        <f>SUMIFS('[16]项目支出总表（开）'!V:V,'[16]项目支出总表（开）'!C:C,MID(TRIM(A186),2,7))</f>
        <v>#VALUE!</v>
      </c>
    </row>
    <row r="187" s="1" customFormat="1" ht="21.75" customHeight="1" spans="1:21">
      <c r="A187" s="512" t="s">
        <v>235</v>
      </c>
      <c r="B187" s="513">
        <f t="shared" ref="B187:I187" si="190">SUM(B188:B191)</f>
        <v>190.812795</v>
      </c>
      <c r="C187" s="513">
        <f t="shared" si="190"/>
        <v>124.112795</v>
      </c>
      <c r="D187" s="513">
        <f t="shared" si="190"/>
        <v>112.371842</v>
      </c>
      <c r="E187" s="513">
        <f t="shared" si="190"/>
        <v>11.740953</v>
      </c>
      <c r="F187" s="513">
        <f t="shared" si="190"/>
        <v>66.7</v>
      </c>
      <c r="G187" s="513" t="e">
        <f t="shared" si="190"/>
        <v>#VALUE!</v>
      </c>
      <c r="H187" s="513" t="e">
        <f t="shared" si="190"/>
        <v>#VALUE!</v>
      </c>
      <c r="I187" s="513" t="e">
        <f t="shared" si="190"/>
        <v>#VALUE!</v>
      </c>
      <c r="J187" s="523" t="e">
        <f t="shared" si="137"/>
        <v>#VALUE!</v>
      </c>
      <c r="K187" s="523" t="e">
        <f t="shared" si="138"/>
        <v>#VALUE!</v>
      </c>
      <c r="L187" s="523" t="e">
        <f t="shared" si="139"/>
        <v>#VALUE!</v>
      </c>
      <c r="O187" s="153"/>
      <c r="S187" s="513" t="e">
        <f t="shared" ref="S187:U187" si="191">SUM(S188:S191)</f>
        <v>#VALUE!</v>
      </c>
      <c r="T187" s="513" t="e">
        <f t="shared" si="191"/>
        <v>#VALUE!</v>
      </c>
      <c r="U187" s="513" t="e">
        <f t="shared" si="191"/>
        <v>#VALUE!</v>
      </c>
    </row>
    <row r="188" s="1" customFormat="1" ht="21.75" customHeight="1" spans="1:21">
      <c r="A188" s="514" t="s">
        <v>236</v>
      </c>
      <c r="B188" s="515">
        <v>124.112795</v>
      </c>
      <c r="C188" s="515">
        <v>124.112795</v>
      </c>
      <c r="D188" s="515">
        <v>112.371842</v>
      </c>
      <c r="E188" s="515">
        <v>11.740953</v>
      </c>
      <c r="F188" s="515"/>
      <c r="G188" s="515" t="e">
        <f t="shared" ref="G188:G191" si="192">SUM(H188:I188)</f>
        <v>#VALUE!</v>
      </c>
      <c r="H188" s="515" t="e">
        <f>SUMIFS('[16]基本支出总表（开）'!P:P,'[16]基本支出总表（开）'!C:C,MID(A188,4,7))</f>
        <v>#VALUE!</v>
      </c>
      <c r="I188" s="515" t="e">
        <f>SUMIFS('[16]项目支出总表（开）'!Y:Y,'[16]项目支出总表（开）'!C:C,MID(A188,4,7))+SUMIFS('[16]项目支出总表（开）'!Z:Z,'[16]项目支出总表（开）'!C:C,MID(A188,4,7))</f>
        <v>#VALUE!</v>
      </c>
      <c r="J188" s="524" t="e">
        <f t="shared" si="137"/>
        <v>#VALUE!</v>
      </c>
      <c r="K188" s="524" t="e">
        <f t="shared" si="138"/>
        <v>#VALUE!</v>
      </c>
      <c r="L188" s="524" t="str">
        <f t="shared" si="139"/>
        <v/>
      </c>
      <c r="O188" s="153"/>
      <c r="S188" s="515" t="e">
        <f t="shared" ref="S188:S191" si="193">SUM(T188:U188)</f>
        <v>#VALUE!</v>
      </c>
      <c r="T188" s="515" t="e">
        <f>SUMIFS('[16]基本支出总表（开）'!M:M,'[16]基本支出总表（开）'!C:C,MID(TRIM(A188),2,7))</f>
        <v>#VALUE!</v>
      </c>
      <c r="U188" s="515" t="e">
        <f>SUMIFS('[16]项目支出总表（开）'!V:V,'[16]项目支出总表（开）'!C:C,MID(TRIM(A188),2,7))</f>
        <v>#VALUE!</v>
      </c>
    </row>
    <row r="189" s="1" customFormat="1" ht="21.75" customHeight="1" spans="1:21">
      <c r="A189" s="514" t="s">
        <v>237</v>
      </c>
      <c r="B189" s="515">
        <v>45</v>
      </c>
      <c r="C189" s="515"/>
      <c r="D189" s="515"/>
      <c r="E189" s="515"/>
      <c r="F189" s="515">
        <v>45</v>
      </c>
      <c r="G189" s="515" t="e">
        <f t="shared" si="192"/>
        <v>#VALUE!</v>
      </c>
      <c r="H189" s="515" t="e">
        <f>SUMIFS('[16]基本支出总表（开）'!P:P,'[16]基本支出总表（开）'!C:C,MID(A189,4,7))</f>
        <v>#VALUE!</v>
      </c>
      <c r="I189" s="515" t="e">
        <f>SUMIFS('[16]项目支出总表（开）'!Y:Y,'[16]项目支出总表（开）'!C:C,MID(A189,4,7))+SUMIFS('[16]项目支出总表（开）'!Z:Z,'[16]项目支出总表（开）'!C:C,MID(A189,4,7))</f>
        <v>#VALUE!</v>
      </c>
      <c r="J189" s="524" t="e">
        <f t="shared" si="137"/>
        <v>#VALUE!</v>
      </c>
      <c r="K189" s="524" t="str">
        <f t="shared" si="138"/>
        <v/>
      </c>
      <c r="L189" s="524" t="e">
        <f t="shared" si="139"/>
        <v>#VALUE!</v>
      </c>
      <c r="O189" s="153"/>
      <c r="S189" s="515" t="e">
        <f t="shared" si="193"/>
        <v>#VALUE!</v>
      </c>
      <c r="T189" s="515" t="e">
        <f>SUMIFS('[16]基本支出总表（开）'!M:M,'[16]基本支出总表（开）'!C:C,MID(TRIM(A189),2,7))</f>
        <v>#VALUE!</v>
      </c>
      <c r="U189" s="515" t="e">
        <f>SUMIFS('[16]项目支出总表（开）'!V:V,'[16]项目支出总表（开）'!C:C,MID(TRIM(A189),2,7))</f>
        <v>#VALUE!</v>
      </c>
    </row>
    <row r="190" s="1" customFormat="1" ht="21.75" customHeight="1" spans="1:21">
      <c r="A190" s="514" t="s">
        <v>238</v>
      </c>
      <c r="B190" s="515">
        <v>21.7</v>
      </c>
      <c r="C190" s="515"/>
      <c r="D190" s="515"/>
      <c r="E190" s="515"/>
      <c r="F190" s="515">
        <v>21.7</v>
      </c>
      <c r="G190" s="515" t="e">
        <f t="shared" si="192"/>
        <v>#VALUE!</v>
      </c>
      <c r="H190" s="515" t="e">
        <f>SUMIFS('[16]基本支出总表（开）'!P:P,'[16]基本支出总表（开）'!C:C,MID(A190,4,7))</f>
        <v>#VALUE!</v>
      </c>
      <c r="I190" s="515" t="e">
        <f>SUMIFS('[16]项目支出总表（开）'!Y:Y,'[16]项目支出总表（开）'!C:C,MID(A190,4,7))+SUMIFS('[16]项目支出总表（开）'!Z:Z,'[16]项目支出总表（开）'!C:C,MID(A190,4,7))</f>
        <v>#VALUE!</v>
      </c>
      <c r="J190" s="524" t="e">
        <f t="shared" si="137"/>
        <v>#VALUE!</v>
      </c>
      <c r="K190" s="524" t="str">
        <f t="shared" si="138"/>
        <v/>
      </c>
      <c r="L190" s="524" t="e">
        <f t="shared" si="139"/>
        <v>#VALUE!</v>
      </c>
      <c r="O190" s="153"/>
      <c r="S190" s="515" t="e">
        <f t="shared" si="193"/>
        <v>#VALUE!</v>
      </c>
      <c r="T190" s="515" t="e">
        <f>SUMIFS('[16]基本支出总表（开）'!M:M,'[16]基本支出总表（开）'!C:C,MID(TRIM(A190),2,7))</f>
        <v>#VALUE!</v>
      </c>
      <c r="U190" s="515" t="e">
        <f>SUMIFS('[16]项目支出总表（开）'!V:V,'[16]项目支出总表（开）'!C:C,MID(TRIM(A190),2,7))</f>
        <v>#VALUE!</v>
      </c>
    </row>
    <row r="191" s="1" customFormat="1" ht="21.75" customHeight="1" spans="1:21">
      <c r="A191" s="516" t="s">
        <v>239</v>
      </c>
      <c r="B191" s="515"/>
      <c r="C191" s="515"/>
      <c r="D191" s="515"/>
      <c r="E191" s="515"/>
      <c r="F191" s="515"/>
      <c r="G191" s="515" t="e">
        <f t="shared" si="192"/>
        <v>#VALUE!</v>
      </c>
      <c r="H191" s="515" t="e">
        <f>SUMIFS('[16]基本支出总表（开）'!P:P,'[16]基本支出总表（开）'!C:C,MID(A191,4,7))</f>
        <v>#VALUE!</v>
      </c>
      <c r="I191" s="515" t="e">
        <f>SUMIFS('[16]项目支出总表（开）'!Y:Y,'[16]项目支出总表（开）'!C:C,MID(A191,4,7))+SUMIFS('[16]项目支出总表（开）'!Z:Z,'[16]项目支出总表（开）'!C:C,MID(A191,4,7))</f>
        <v>#VALUE!</v>
      </c>
      <c r="J191" s="524" t="str">
        <f t="shared" si="137"/>
        <v/>
      </c>
      <c r="K191" s="524" t="str">
        <f t="shared" si="138"/>
        <v/>
      </c>
      <c r="L191" s="524" t="str">
        <f t="shared" si="139"/>
        <v/>
      </c>
      <c r="O191" s="153"/>
      <c r="S191" s="515" t="e">
        <f t="shared" si="193"/>
        <v>#VALUE!</v>
      </c>
      <c r="T191" s="515" t="e">
        <f>SUMIFS('[16]基本支出总表（开）'!M:M,'[16]基本支出总表（开）'!C:C,MID(TRIM(A191),2,7))</f>
        <v>#VALUE!</v>
      </c>
      <c r="U191" s="515" t="e">
        <f>SUMIFS('[16]项目支出总表（开）'!V:V,'[16]项目支出总表（开）'!C:C,MID(TRIM(A191),2,7))</f>
        <v>#VALUE!</v>
      </c>
    </row>
    <row r="192" s="1" customFormat="1" ht="21.75" customHeight="1" spans="1:21">
      <c r="A192" s="517" t="s">
        <v>240</v>
      </c>
      <c r="B192" s="513">
        <f t="shared" ref="B192:I192" si="194">SUM(B193)</f>
        <v>0</v>
      </c>
      <c r="C192" s="513">
        <f t="shared" si="194"/>
        <v>0</v>
      </c>
      <c r="D192" s="513">
        <f t="shared" si="194"/>
        <v>0</v>
      </c>
      <c r="E192" s="513">
        <f t="shared" si="194"/>
        <v>0</v>
      </c>
      <c r="F192" s="513">
        <f t="shared" si="194"/>
        <v>0</v>
      </c>
      <c r="G192" s="513" t="e">
        <f t="shared" si="194"/>
        <v>#VALUE!</v>
      </c>
      <c r="H192" s="513" t="e">
        <f t="shared" si="194"/>
        <v>#VALUE!</v>
      </c>
      <c r="I192" s="513" t="e">
        <f t="shared" si="194"/>
        <v>#VALUE!</v>
      </c>
      <c r="J192" s="523" t="str">
        <f t="shared" si="137"/>
        <v/>
      </c>
      <c r="K192" s="523" t="str">
        <f t="shared" si="138"/>
        <v/>
      </c>
      <c r="L192" s="523" t="str">
        <f t="shared" si="139"/>
        <v/>
      </c>
      <c r="O192" s="153"/>
      <c r="S192" s="513" t="e">
        <f t="shared" ref="S192:U192" si="195">SUM(S193)</f>
        <v>#VALUE!</v>
      </c>
      <c r="T192" s="513" t="e">
        <f t="shared" si="195"/>
        <v>#VALUE!</v>
      </c>
      <c r="U192" s="513" t="e">
        <f t="shared" si="195"/>
        <v>#VALUE!</v>
      </c>
    </row>
    <row r="193" s="1" customFormat="1" ht="21.75" customHeight="1" spans="1:21">
      <c r="A193" s="516" t="s">
        <v>241</v>
      </c>
      <c r="B193" s="515"/>
      <c r="C193" s="515"/>
      <c r="D193" s="515"/>
      <c r="E193" s="515"/>
      <c r="F193" s="515"/>
      <c r="G193" s="515" t="e">
        <f t="shared" ref="G193:G197" si="196">SUM(H193:I193)</f>
        <v>#VALUE!</v>
      </c>
      <c r="H193" s="515" t="e">
        <f>SUMIFS('[16]基本支出总表（开）'!P:P,'[16]基本支出总表（开）'!C:C,MID(A193,4,7))</f>
        <v>#VALUE!</v>
      </c>
      <c r="I193" s="515" t="e">
        <f>SUMIFS('[16]项目支出总表（开）'!Y:Y,'[16]项目支出总表（开）'!C:C,MID(A193,4,7))+SUMIFS('[16]项目支出总表（开）'!Z:Z,'[16]项目支出总表（开）'!C:C,MID(A193,4,7))</f>
        <v>#VALUE!</v>
      </c>
      <c r="J193" s="524" t="str">
        <f t="shared" si="137"/>
        <v/>
      </c>
      <c r="K193" s="524" t="str">
        <f t="shared" si="138"/>
        <v/>
      </c>
      <c r="L193" s="524" t="str">
        <f t="shared" si="139"/>
        <v/>
      </c>
      <c r="O193" s="153"/>
      <c r="S193" s="515" t="e">
        <f t="shared" ref="S193:S197" si="197">SUM(T193:U193)</f>
        <v>#VALUE!</v>
      </c>
      <c r="T193" s="515" t="e">
        <f>SUMIFS('[16]基本支出总表（开）'!M:M,'[16]基本支出总表（开）'!C:C,MID(TRIM(A193),2,7))</f>
        <v>#VALUE!</v>
      </c>
      <c r="U193" s="515" t="e">
        <f>SUMIFS('[16]项目支出总表（开）'!V:V,'[16]项目支出总表（开）'!C:C,MID(TRIM(A193),2,7))</f>
        <v>#VALUE!</v>
      </c>
    </row>
    <row r="194" s="1" customFormat="1" ht="21.75" customHeight="1" spans="1:21">
      <c r="A194" s="510" t="s">
        <v>242</v>
      </c>
      <c r="B194" s="511">
        <f t="shared" ref="B194:I194" si="198">B195+B198+B200+B207+B203+B205</f>
        <v>2963.688037</v>
      </c>
      <c r="C194" s="511">
        <f t="shared" si="198"/>
        <v>381.228037</v>
      </c>
      <c r="D194" s="511">
        <f t="shared" si="198"/>
        <v>335.175872</v>
      </c>
      <c r="E194" s="511">
        <f t="shared" si="198"/>
        <v>46.052165</v>
      </c>
      <c r="F194" s="511">
        <f t="shared" si="198"/>
        <v>2582.46</v>
      </c>
      <c r="G194" s="511" t="e">
        <f t="shared" si="198"/>
        <v>#VALUE!</v>
      </c>
      <c r="H194" s="511" t="e">
        <f t="shared" si="198"/>
        <v>#VALUE!</v>
      </c>
      <c r="I194" s="511" t="e">
        <f t="shared" si="198"/>
        <v>#VALUE!</v>
      </c>
      <c r="J194" s="522" t="e">
        <f t="shared" si="137"/>
        <v>#VALUE!</v>
      </c>
      <c r="K194" s="522" t="e">
        <f t="shared" si="138"/>
        <v>#VALUE!</v>
      </c>
      <c r="L194" s="522" t="e">
        <f t="shared" si="139"/>
        <v>#VALUE!</v>
      </c>
      <c r="O194" s="153"/>
      <c r="S194" s="511" t="e">
        <f t="shared" ref="S194:U194" si="199">S195+S198+S200+S207+S203+S205</f>
        <v>#VALUE!</v>
      </c>
      <c r="T194" s="511" t="e">
        <f t="shared" si="199"/>
        <v>#VALUE!</v>
      </c>
      <c r="U194" s="511" t="e">
        <f t="shared" si="199"/>
        <v>#VALUE!</v>
      </c>
    </row>
    <row r="195" s="1" customFormat="1" ht="21.75" customHeight="1" spans="1:21">
      <c r="A195" s="512" t="s">
        <v>243</v>
      </c>
      <c r="B195" s="513">
        <f t="shared" ref="B195:I195" si="200">SUM(B196:B197)</f>
        <v>437.228037</v>
      </c>
      <c r="C195" s="513">
        <f t="shared" si="200"/>
        <v>381.228037</v>
      </c>
      <c r="D195" s="513">
        <f t="shared" si="200"/>
        <v>335.175872</v>
      </c>
      <c r="E195" s="513">
        <f t="shared" si="200"/>
        <v>46.052165</v>
      </c>
      <c r="F195" s="513">
        <f t="shared" si="200"/>
        <v>56</v>
      </c>
      <c r="G195" s="513" t="e">
        <f t="shared" si="200"/>
        <v>#VALUE!</v>
      </c>
      <c r="H195" s="513" t="e">
        <f t="shared" si="200"/>
        <v>#VALUE!</v>
      </c>
      <c r="I195" s="513" t="e">
        <f t="shared" si="200"/>
        <v>#VALUE!</v>
      </c>
      <c r="J195" s="523" t="e">
        <f t="shared" si="137"/>
        <v>#VALUE!</v>
      </c>
      <c r="K195" s="523" t="e">
        <f t="shared" si="138"/>
        <v>#VALUE!</v>
      </c>
      <c r="L195" s="523" t="e">
        <f t="shared" si="139"/>
        <v>#VALUE!</v>
      </c>
      <c r="O195" s="153"/>
      <c r="S195" s="513" t="e">
        <f t="shared" ref="S195:U195" si="201">SUM(S196:S197)</f>
        <v>#VALUE!</v>
      </c>
      <c r="T195" s="513" t="e">
        <f t="shared" si="201"/>
        <v>#VALUE!</v>
      </c>
      <c r="U195" s="513" t="e">
        <f t="shared" si="201"/>
        <v>#VALUE!</v>
      </c>
    </row>
    <row r="196" s="1" customFormat="1" ht="21.75" customHeight="1" spans="1:21">
      <c r="A196" s="514" t="s">
        <v>244</v>
      </c>
      <c r="B196" s="515">
        <v>381.228037</v>
      </c>
      <c r="C196" s="515">
        <v>381.228037</v>
      </c>
      <c r="D196" s="515">
        <v>335.175872</v>
      </c>
      <c r="E196" s="515">
        <v>46.052165</v>
      </c>
      <c r="F196" s="515"/>
      <c r="G196" s="515" t="e">
        <f t="shared" si="196"/>
        <v>#VALUE!</v>
      </c>
      <c r="H196" s="515" t="e">
        <f>SUMIFS('[16]基本支出总表（开）'!P:P,'[16]基本支出总表（开）'!C:C,MID(A196,4,7))</f>
        <v>#VALUE!</v>
      </c>
      <c r="I196" s="515" t="e">
        <f>SUMIFS('[16]项目支出总表（开）'!Y:Y,'[16]项目支出总表（开）'!C:C,MID(A196,4,7))+SUMIFS('[16]项目支出总表（开）'!Z:Z,'[16]项目支出总表（开）'!C:C,MID(A196,4,7))</f>
        <v>#VALUE!</v>
      </c>
      <c r="J196" s="524" t="e">
        <f t="shared" si="137"/>
        <v>#VALUE!</v>
      </c>
      <c r="K196" s="524" t="e">
        <f t="shared" si="138"/>
        <v>#VALUE!</v>
      </c>
      <c r="L196" s="524" t="str">
        <f t="shared" si="139"/>
        <v/>
      </c>
      <c r="O196" s="153"/>
      <c r="S196" s="515" t="e">
        <f t="shared" si="197"/>
        <v>#VALUE!</v>
      </c>
      <c r="T196" s="515" t="e">
        <f>SUMIFS('[16]基本支出总表（开）'!M:M,'[16]基本支出总表（开）'!C:C,MID(TRIM(A196),2,7))</f>
        <v>#VALUE!</v>
      </c>
      <c r="U196" s="515" t="e">
        <f>SUMIFS('[16]项目支出总表（开）'!V:V,'[16]项目支出总表（开）'!C:C,MID(TRIM(A196),2,7))</f>
        <v>#VALUE!</v>
      </c>
    </row>
    <row r="197" s="1" customFormat="1" ht="21.75" customHeight="1" spans="1:21">
      <c r="A197" s="514" t="s">
        <v>245</v>
      </c>
      <c r="B197" s="515">
        <v>56</v>
      </c>
      <c r="C197" s="515"/>
      <c r="D197" s="515"/>
      <c r="E197" s="515"/>
      <c r="F197" s="515">
        <v>56</v>
      </c>
      <c r="G197" s="515" t="e">
        <f t="shared" si="196"/>
        <v>#VALUE!</v>
      </c>
      <c r="H197" s="515" t="e">
        <f>SUMIFS('[16]基本支出总表（开）'!P:P,'[16]基本支出总表（开）'!C:C,MID(A197,4,7))</f>
        <v>#VALUE!</v>
      </c>
      <c r="I197" s="515" t="e">
        <f>SUMIFS('[16]项目支出总表（开）'!Y:Y,'[16]项目支出总表（开）'!C:C,MID(A197,4,7))+SUMIFS('[16]项目支出总表（开）'!Z:Z,'[16]项目支出总表（开）'!C:C,MID(A197,4,7))</f>
        <v>#VALUE!</v>
      </c>
      <c r="J197" s="524" t="e">
        <f t="shared" si="137"/>
        <v>#VALUE!</v>
      </c>
      <c r="K197" s="524" t="str">
        <f t="shared" si="138"/>
        <v/>
      </c>
      <c r="L197" s="524" t="e">
        <f t="shared" si="139"/>
        <v>#VALUE!</v>
      </c>
      <c r="O197" s="153"/>
      <c r="S197" s="515" t="e">
        <f t="shared" si="197"/>
        <v>#VALUE!</v>
      </c>
      <c r="T197" s="515" t="e">
        <f>SUMIFS('[16]基本支出总表（开）'!M:M,'[16]基本支出总表（开）'!C:C,MID(TRIM(A197),2,7))</f>
        <v>#VALUE!</v>
      </c>
      <c r="U197" s="515" t="e">
        <f>SUMIFS('[16]项目支出总表（开）'!V:V,'[16]项目支出总表（开）'!C:C,MID(TRIM(A197),2,7))</f>
        <v>#VALUE!</v>
      </c>
    </row>
    <row r="198" s="1" customFormat="1" ht="21.75" customHeight="1" spans="1:21">
      <c r="A198" s="512" t="s">
        <v>246</v>
      </c>
      <c r="B198" s="513">
        <f t="shared" ref="B198:I198" si="202">SUM(B199)</f>
        <v>161</v>
      </c>
      <c r="C198" s="513">
        <f t="shared" si="202"/>
        <v>0</v>
      </c>
      <c r="D198" s="513">
        <f t="shared" si="202"/>
        <v>0</v>
      </c>
      <c r="E198" s="513">
        <f t="shared" si="202"/>
        <v>0</v>
      </c>
      <c r="F198" s="513">
        <f t="shared" si="202"/>
        <v>161</v>
      </c>
      <c r="G198" s="513" t="e">
        <f t="shared" si="202"/>
        <v>#VALUE!</v>
      </c>
      <c r="H198" s="513" t="e">
        <f t="shared" si="202"/>
        <v>#VALUE!</v>
      </c>
      <c r="I198" s="513" t="e">
        <f t="shared" si="202"/>
        <v>#VALUE!</v>
      </c>
      <c r="J198" s="523" t="e">
        <f t="shared" ref="J198:J236" si="203">IF(B198=0,"",G198/B198)</f>
        <v>#VALUE!</v>
      </c>
      <c r="K198" s="523" t="str">
        <f t="shared" ref="K198:K236" si="204">IF(C198=0,"",H198/C198)</f>
        <v/>
      </c>
      <c r="L198" s="523" t="e">
        <f t="shared" ref="L198:L236" si="205">IF(F198=0,"",I198/F198)</f>
        <v>#VALUE!</v>
      </c>
      <c r="O198" s="153"/>
      <c r="S198" s="513" t="e">
        <f t="shared" ref="S198:U198" si="206">SUM(S199)</f>
        <v>#VALUE!</v>
      </c>
      <c r="T198" s="513" t="e">
        <f t="shared" si="206"/>
        <v>#VALUE!</v>
      </c>
      <c r="U198" s="513" t="e">
        <f t="shared" si="206"/>
        <v>#VALUE!</v>
      </c>
    </row>
    <row r="199" s="1" customFormat="1" ht="21.75" customHeight="1" spans="1:21">
      <c r="A199" s="514" t="s">
        <v>247</v>
      </c>
      <c r="B199" s="515">
        <v>161</v>
      </c>
      <c r="C199" s="515"/>
      <c r="D199" s="515"/>
      <c r="E199" s="515"/>
      <c r="F199" s="515">
        <v>161</v>
      </c>
      <c r="G199" s="515" t="e">
        <f t="shared" ref="G199:G202" si="207">SUM(H199:I199)</f>
        <v>#VALUE!</v>
      </c>
      <c r="H199" s="515" t="e">
        <f>SUMIFS('[16]基本支出总表（开）'!P:P,'[16]基本支出总表（开）'!C:C,MID(A199,4,7))</f>
        <v>#VALUE!</v>
      </c>
      <c r="I199" s="515" t="e">
        <f>SUMIFS('[16]项目支出总表（开）'!Y:Y,'[16]项目支出总表（开）'!C:C,MID(A199,4,7))+SUMIFS('[16]项目支出总表（开）'!Z:Z,'[16]项目支出总表（开）'!C:C,MID(A199,4,7))</f>
        <v>#VALUE!</v>
      </c>
      <c r="J199" s="524" t="e">
        <f t="shared" si="203"/>
        <v>#VALUE!</v>
      </c>
      <c r="K199" s="524" t="str">
        <f t="shared" si="204"/>
        <v/>
      </c>
      <c r="L199" s="524" t="e">
        <f t="shared" si="205"/>
        <v>#VALUE!</v>
      </c>
      <c r="O199" s="153"/>
      <c r="S199" s="515" t="e">
        <f t="shared" ref="S199:S202" si="208">SUM(T199:U199)</f>
        <v>#VALUE!</v>
      </c>
      <c r="T199" s="515" t="e">
        <f>SUMIFS('[16]基本支出总表（开）'!M:M,'[16]基本支出总表（开）'!C:C,MID(TRIM(A199),2,7))</f>
        <v>#VALUE!</v>
      </c>
      <c r="U199" s="515" t="e">
        <f>SUMIFS('[16]项目支出总表（开）'!V:V,'[16]项目支出总表（开）'!C:C,MID(TRIM(A199),2,7))</f>
        <v>#VALUE!</v>
      </c>
    </row>
    <row r="200" s="1" customFormat="1" ht="21.75" customHeight="1" spans="1:21">
      <c r="A200" s="512" t="s">
        <v>248</v>
      </c>
      <c r="B200" s="513">
        <f t="shared" ref="B200:I200" si="209">SUM(B201:B202)</f>
        <v>1570.46</v>
      </c>
      <c r="C200" s="513">
        <f t="shared" si="209"/>
        <v>0</v>
      </c>
      <c r="D200" s="513">
        <f t="shared" si="209"/>
        <v>0</v>
      </c>
      <c r="E200" s="513">
        <f t="shared" si="209"/>
        <v>0</v>
      </c>
      <c r="F200" s="513">
        <f t="shared" si="209"/>
        <v>1570.46</v>
      </c>
      <c r="G200" s="513" t="e">
        <f t="shared" si="209"/>
        <v>#VALUE!</v>
      </c>
      <c r="H200" s="513" t="e">
        <f t="shared" si="209"/>
        <v>#VALUE!</v>
      </c>
      <c r="I200" s="513" t="e">
        <f t="shared" si="209"/>
        <v>#VALUE!</v>
      </c>
      <c r="J200" s="523" t="e">
        <f t="shared" si="203"/>
        <v>#VALUE!</v>
      </c>
      <c r="K200" s="523" t="str">
        <f t="shared" si="204"/>
        <v/>
      </c>
      <c r="L200" s="523" t="e">
        <f t="shared" si="205"/>
        <v>#VALUE!</v>
      </c>
      <c r="O200" s="153"/>
      <c r="S200" s="513" t="e">
        <f t="shared" ref="S200:U200" si="210">SUM(S201:S202)</f>
        <v>#VALUE!</v>
      </c>
      <c r="T200" s="513" t="e">
        <f t="shared" si="210"/>
        <v>#VALUE!</v>
      </c>
      <c r="U200" s="513" t="e">
        <f t="shared" si="210"/>
        <v>#VALUE!</v>
      </c>
    </row>
    <row r="201" s="1" customFormat="1" ht="21.75" customHeight="1" spans="1:21">
      <c r="A201" s="514" t="s">
        <v>249</v>
      </c>
      <c r="B201" s="515">
        <v>1550</v>
      </c>
      <c r="C201" s="515"/>
      <c r="D201" s="515"/>
      <c r="E201" s="515"/>
      <c r="F201" s="515">
        <v>1550</v>
      </c>
      <c r="G201" s="515" t="e">
        <f t="shared" si="207"/>
        <v>#VALUE!</v>
      </c>
      <c r="H201" s="515" t="e">
        <f>SUMIFS('[16]基本支出总表（开）'!P:P,'[16]基本支出总表（开）'!C:C,MID(A201,4,7))</f>
        <v>#VALUE!</v>
      </c>
      <c r="I201" s="515" t="e">
        <f>SUMIFS('[16]项目支出总表（开）'!Y:Y,'[16]项目支出总表（开）'!C:C,MID(A201,4,7))+SUMIFS('[16]项目支出总表（开）'!Z:Z,'[16]项目支出总表（开）'!C:C,MID(A201,4,7))</f>
        <v>#VALUE!</v>
      </c>
      <c r="J201" s="524" t="e">
        <f t="shared" si="203"/>
        <v>#VALUE!</v>
      </c>
      <c r="K201" s="524" t="str">
        <f t="shared" si="204"/>
        <v/>
      </c>
      <c r="L201" s="524" t="e">
        <f t="shared" si="205"/>
        <v>#VALUE!</v>
      </c>
      <c r="O201" s="153"/>
      <c r="S201" s="515" t="e">
        <f t="shared" si="208"/>
        <v>#VALUE!</v>
      </c>
      <c r="T201" s="515" t="e">
        <f>SUMIFS('[16]基本支出总表（开）'!M:M,'[16]基本支出总表（开）'!C:C,MID(TRIM(A201),2,7))</f>
        <v>#VALUE!</v>
      </c>
      <c r="U201" s="515" t="e">
        <f>SUMIFS('[16]项目支出总表（开）'!V:V,'[16]项目支出总表（开）'!C:C,MID(TRIM(A201),2,7))</f>
        <v>#VALUE!</v>
      </c>
    </row>
    <row r="202" s="1" customFormat="1" ht="21.75" customHeight="1" spans="1:21">
      <c r="A202" s="514" t="s">
        <v>250</v>
      </c>
      <c r="B202" s="515">
        <v>20.46</v>
      </c>
      <c r="C202" s="515"/>
      <c r="D202" s="515"/>
      <c r="E202" s="515"/>
      <c r="F202" s="515">
        <v>20.46</v>
      </c>
      <c r="G202" s="515" t="e">
        <f t="shared" si="207"/>
        <v>#VALUE!</v>
      </c>
      <c r="H202" s="515" t="e">
        <f>SUMIFS('[16]基本支出总表（开）'!P:P,'[16]基本支出总表（开）'!C:C,MID(A202,4,7))</f>
        <v>#VALUE!</v>
      </c>
      <c r="I202" s="515" t="e">
        <f>SUMIFS('[16]项目支出总表（开）'!Y:Y,'[16]项目支出总表（开）'!C:C,MID(A202,4,7))+SUMIFS('[16]项目支出总表（开）'!Z:Z,'[16]项目支出总表（开）'!C:C,MID(A202,4,7))</f>
        <v>#VALUE!</v>
      </c>
      <c r="J202" s="524" t="e">
        <f t="shared" si="203"/>
        <v>#VALUE!</v>
      </c>
      <c r="K202" s="524" t="str">
        <f t="shared" si="204"/>
        <v/>
      </c>
      <c r="L202" s="524" t="e">
        <f t="shared" si="205"/>
        <v>#VALUE!</v>
      </c>
      <c r="O202" s="153"/>
      <c r="S202" s="515" t="e">
        <f t="shared" si="208"/>
        <v>#VALUE!</v>
      </c>
      <c r="T202" s="515" t="e">
        <f>SUMIFS('[16]基本支出总表（开）'!M:M,'[16]基本支出总表（开）'!C:C,MID(TRIM(A202),2,7))</f>
        <v>#VALUE!</v>
      </c>
      <c r="U202" s="515" t="e">
        <f>SUMIFS('[16]项目支出总表（开）'!V:V,'[16]项目支出总表（开）'!C:C,MID(TRIM(A202),2,7))</f>
        <v>#VALUE!</v>
      </c>
    </row>
    <row r="203" s="1" customFormat="1" ht="21.75" customHeight="1" spans="1:21">
      <c r="A203" s="517" t="s">
        <v>251</v>
      </c>
      <c r="B203" s="513">
        <f t="shared" ref="B203:I203" si="211">SUM(B204)</f>
        <v>0</v>
      </c>
      <c r="C203" s="513">
        <f t="shared" si="211"/>
        <v>0</v>
      </c>
      <c r="D203" s="513">
        <f t="shared" si="211"/>
        <v>0</v>
      </c>
      <c r="E203" s="513">
        <f t="shared" si="211"/>
        <v>0</v>
      </c>
      <c r="F203" s="513">
        <f t="shared" si="211"/>
        <v>0</v>
      </c>
      <c r="G203" s="513" t="e">
        <f t="shared" si="211"/>
        <v>#VALUE!</v>
      </c>
      <c r="H203" s="513" t="e">
        <f t="shared" si="211"/>
        <v>#VALUE!</v>
      </c>
      <c r="I203" s="513" t="e">
        <f t="shared" si="211"/>
        <v>#VALUE!</v>
      </c>
      <c r="J203" s="523" t="str">
        <f t="shared" si="203"/>
        <v/>
      </c>
      <c r="K203" s="523" t="str">
        <f t="shared" si="204"/>
        <v/>
      </c>
      <c r="L203" s="523" t="str">
        <f t="shared" si="205"/>
        <v/>
      </c>
      <c r="O203" s="153"/>
      <c r="S203" s="513" t="e">
        <f t="shared" ref="S203:U203" si="212">SUM(S204)</f>
        <v>#VALUE!</v>
      </c>
      <c r="T203" s="513" t="e">
        <f t="shared" si="212"/>
        <v>#VALUE!</v>
      </c>
      <c r="U203" s="513" t="e">
        <f t="shared" si="212"/>
        <v>#VALUE!</v>
      </c>
    </row>
    <row r="204" s="1" customFormat="1" ht="21.75" customHeight="1" spans="1:21">
      <c r="A204" s="516" t="s">
        <v>252</v>
      </c>
      <c r="B204" s="515"/>
      <c r="C204" s="515"/>
      <c r="D204" s="515"/>
      <c r="E204" s="515"/>
      <c r="F204" s="515"/>
      <c r="G204" s="515" t="e">
        <f t="shared" ref="G204:G208" si="213">SUM(H204:I204)</f>
        <v>#VALUE!</v>
      </c>
      <c r="H204" s="515" t="e">
        <f>SUMIFS('[16]基本支出总表（开）'!P:P,'[16]基本支出总表（开）'!C:C,MID(A204,4,7))</f>
        <v>#VALUE!</v>
      </c>
      <c r="I204" s="515" t="e">
        <f>SUMIFS('[16]项目支出总表（开）'!Y:Y,'[16]项目支出总表（开）'!C:C,MID(A204,4,7))+SUMIFS('[16]项目支出总表（开）'!Z:Z,'[16]项目支出总表（开）'!C:C,MID(A204,4,7))</f>
        <v>#VALUE!</v>
      </c>
      <c r="J204" s="524" t="str">
        <f t="shared" si="203"/>
        <v/>
      </c>
      <c r="K204" s="524" t="str">
        <f t="shared" si="204"/>
        <v/>
      </c>
      <c r="L204" s="524" t="str">
        <f t="shared" si="205"/>
        <v/>
      </c>
      <c r="O204" s="153"/>
      <c r="S204" s="515" t="e">
        <f t="shared" ref="S204:S208" si="214">SUM(T204:U204)</f>
        <v>#VALUE!</v>
      </c>
      <c r="T204" s="515" t="e">
        <f>SUMIFS('[16]基本支出总表（开）'!M:M,'[16]基本支出总表（开）'!C:C,MID(TRIM(A204),2,7))</f>
        <v>#VALUE!</v>
      </c>
      <c r="U204" s="515" t="e">
        <f>SUMIFS('[16]项目支出总表（开）'!V:V,'[16]项目支出总表（开）'!C:C,MID(TRIM(A204),2,7))</f>
        <v>#VALUE!</v>
      </c>
    </row>
    <row r="205" s="1" customFormat="1" ht="21.75" customHeight="1" spans="1:21">
      <c r="A205" s="512" t="s">
        <v>253</v>
      </c>
      <c r="B205" s="513">
        <f t="shared" ref="B205:I205" si="215">SUM(B206)</f>
        <v>795</v>
      </c>
      <c r="C205" s="513">
        <f t="shared" si="215"/>
        <v>0</v>
      </c>
      <c r="D205" s="513">
        <f t="shared" si="215"/>
        <v>0</v>
      </c>
      <c r="E205" s="513">
        <f t="shared" si="215"/>
        <v>0</v>
      </c>
      <c r="F205" s="513">
        <f t="shared" si="215"/>
        <v>795</v>
      </c>
      <c r="G205" s="513" t="e">
        <f t="shared" si="215"/>
        <v>#VALUE!</v>
      </c>
      <c r="H205" s="513" t="e">
        <f t="shared" si="215"/>
        <v>#VALUE!</v>
      </c>
      <c r="I205" s="513" t="e">
        <f t="shared" si="215"/>
        <v>#VALUE!</v>
      </c>
      <c r="J205" s="523" t="e">
        <f t="shared" si="203"/>
        <v>#VALUE!</v>
      </c>
      <c r="K205" s="523" t="str">
        <f t="shared" si="204"/>
        <v/>
      </c>
      <c r="L205" s="523" t="e">
        <f t="shared" si="205"/>
        <v>#VALUE!</v>
      </c>
      <c r="O205" s="153"/>
      <c r="S205" s="513" t="e">
        <f t="shared" ref="S205:U205" si="216">SUM(S206)</f>
        <v>#VALUE!</v>
      </c>
      <c r="T205" s="513" t="e">
        <f t="shared" si="216"/>
        <v>#VALUE!</v>
      </c>
      <c r="U205" s="513" t="e">
        <f t="shared" si="216"/>
        <v>#VALUE!</v>
      </c>
    </row>
    <row r="206" s="1" customFormat="1" ht="21.75" customHeight="1" spans="1:21">
      <c r="A206" s="514" t="s">
        <v>254</v>
      </c>
      <c r="B206" s="515">
        <v>795</v>
      </c>
      <c r="C206" s="515"/>
      <c r="D206" s="515"/>
      <c r="E206" s="515"/>
      <c r="F206" s="515">
        <v>795</v>
      </c>
      <c r="G206" s="515" t="e">
        <f t="shared" si="213"/>
        <v>#VALUE!</v>
      </c>
      <c r="H206" s="515" t="e">
        <f>SUMIFS('[16]基本支出总表（开）'!P:P,'[16]基本支出总表（开）'!C:C,MID(A206,4,7))</f>
        <v>#VALUE!</v>
      </c>
      <c r="I206" s="515" t="e">
        <f>SUMIFS('[16]项目支出总表（开）'!Y:Y,'[16]项目支出总表（开）'!C:C,MID(A206,4,7))+SUMIFS('[16]项目支出总表（开）'!Z:Z,'[16]项目支出总表（开）'!C:C,MID(A206,4,7))</f>
        <v>#VALUE!</v>
      </c>
      <c r="J206" s="524" t="e">
        <f t="shared" si="203"/>
        <v>#VALUE!</v>
      </c>
      <c r="K206" s="524" t="str">
        <f t="shared" si="204"/>
        <v/>
      </c>
      <c r="L206" s="524" t="e">
        <f t="shared" si="205"/>
        <v>#VALUE!</v>
      </c>
      <c r="O206" s="153"/>
      <c r="S206" s="515" t="e">
        <f t="shared" si="214"/>
        <v>#VALUE!</v>
      </c>
      <c r="T206" s="515" t="e">
        <f>SUMIFS('[16]基本支出总表（开）'!M:M,'[16]基本支出总表（开）'!C:C,MID(TRIM(A206),2,7))</f>
        <v>#VALUE!</v>
      </c>
      <c r="U206" s="515" t="e">
        <f>SUMIFS('[16]项目支出总表（开）'!V:V,'[16]项目支出总表（开）'!C:C,MID(TRIM(A206),2,7))</f>
        <v>#VALUE!</v>
      </c>
    </row>
    <row r="207" s="1" customFormat="1" ht="21.75" customHeight="1" spans="1:21">
      <c r="A207" s="517" t="s">
        <v>255</v>
      </c>
      <c r="B207" s="513">
        <f t="shared" ref="B207:I207" si="217">SUM(B208)</f>
        <v>0</v>
      </c>
      <c r="C207" s="513">
        <f t="shared" si="217"/>
        <v>0</v>
      </c>
      <c r="D207" s="513">
        <f t="shared" si="217"/>
        <v>0</v>
      </c>
      <c r="E207" s="513">
        <f t="shared" si="217"/>
        <v>0</v>
      </c>
      <c r="F207" s="513">
        <f t="shared" si="217"/>
        <v>0</v>
      </c>
      <c r="G207" s="513" t="e">
        <f t="shared" si="217"/>
        <v>#VALUE!</v>
      </c>
      <c r="H207" s="513" t="e">
        <f t="shared" si="217"/>
        <v>#VALUE!</v>
      </c>
      <c r="I207" s="513" t="e">
        <f t="shared" si="217"/>
        <v>#VALUE!</v>
      </c>
      <c r="J207" s="523" t="str">
        <f t="shared" si="203"/>
        <v/>
      </c>
      <c r="K207" s="523" t="str">
        <f t="shared" si="204"/>
        <v/>
      </c>
      <c r="L207" s="523" t="str">
        <f t="shared" si="205"/>
        <v/>
      </c>
      <c r="O207" s="153"/>
      <c r="S207" s="513" t="e">
        <f t="shared" ref="S207:U207" si="218">SUM(S208)</f>
        <v>#VALUE!</v>
      </c>
      <c r="T207" s="513" t="e">
        <f t="shared" si="218"/>
        <v>#VALUE!</v>
      </c>
      <c r="U207" s="513" t="e">
        <f t="shared" si="218"/>
        <v>#VALUE!</v>
      </c>
    </row>
    <row r="208" s="1" customFormat="1" ht="21.75" customHeight="1" spans="1:21">
      <c r="A208" s="516" t="s">
        <v>256</v>
      </c>
      <c r="B208" s="515"/>
      <c r="C208" s="515"/>
      <c r="D208" s="515"/>
      <c r="E208" s="515"/>
      <c r="F208" s="515"/>
      <c r="G208" s="515" t="e">
        <f t="shared" si="213"/>
        <v>#VALUE!</v>
      </c>
      <c r="H208" s="515" t="e">
        <f>SUMIFS('[16]基本支出总表（开）'!P:P,'[16]基本支出总表（开）'!C:C,MID(A208,4,7))</f>
        <v>#VALUE!</v>
      </c>
      <c r="I208" s="515" t="e">
        <f>SUMIFS('[16]项目支出总表（开）'!Y:Y,'[16]项目支出总表（开）'!C:C,MID(A208,4,7))+SUMIFS('[16]项目支出总表（开）'!Z:Z,'[16]项目支出总表（开）'!C:C,MID(A208,4,7))</f>
        <v>#VALUE!</v>
      </c>
      <c r="J208" s="524" t="str">
        <f t="shared" si="203"/>
        <v/>
      </c>
      <c r="K208" s="524" t="str">
        <f t="shared" si="204"/>
        <v/>
      </c>
      <c r="L208" s="524" t="str">
        <f t="shared" si="205"/>
        <v/>
      </c>
      <c r="O208" s="153"/>
      <c r="S208" s="515" t="e">
        <f t="shared" si="214"/>
        <v>#VALUE!</v>
      </c>
      <c r="T208" s="515" t="e">
        <f>SUMIFS('[16]基本支出总表（开）'!M:M,'[16]基本支出总表（开）'!C:C,MID(TRIM(A208),2,7))</f>
        <v>#VALUE!</v>
      </c>
      <c r="U208" s="515" t="e">
        <f>SUMIFS('[16]项目支出总表（开）'!V:V,'[16]项目支出总表（开）'!C:C,MID(TRIM(A208),2,7))</f>
        <v>#VALUE!</v>
      </c>
    </row>
    <row r="209" s="1" customFormat="1" ht="21.75" customHeight="1" spans="1:21">
      <c r="A209" s="510" t="s">
        <v>257</v>
      </c>
      <c r="B209" s="511">
        <f t="shared" ref="B209:I209" si="219">B210+B214+B218+B216</f>
        <v>36378.376587</v>
      </c>
      <c r="C209" s="511">
        <f t="shared" si="219"/>
        <v>1150.656587</v>
      </c>
      <c r="D209" s="511">
        <f t="shared" si="219"/>
        <v>1009.756895</v>
      </c>
      <c r="E209" s="511">
        <f t="shared" si="219"/>
        <v>140.899692</v>
      </c>
      <c r="F209" s="511">
        <f t="shared" si="219"/>
        <v>35227.72</v>
      </c>
      <c r="G209" s="511" t="e">
        <f t="shared" si="219"/>
        <v>#VALUE!</v>
      </c>
      <c r="H209" s="511" t="e">
        <f t="shared" si="219"/>
        <v>#VALUE!</v>
      </c>
      <c r="I209" s="511" t="e">
        <f t="shared" si="219"/>
        <v>#VALUE!</v>
      </c>
      <c r="J209" s="522" t="e">
        <f t="shared" si="203"/>
        <v>#VALUE!</v>
      </c>
      <c r="K209" s="522" t="e">
        <f t="shared" si="204"/>
        <v>#VALUE!</v>
      </c>
      <c r="L209" s="522" t="e">
        <f t="shared" si="205"/>
        <v>#VALUE!</v>
      </c>
      <c r="O209" s="153"/>
      <c r="S209" s="511" t="e">
        <f t="shared" ref="S209:U209" si="220">S210+S214+S218+S216</f>
        <v>#VALUE!</v>
      </c>
      <c r="T209" s="511" t="e">
        <f t="shared" si="220"/>
        <v>#VALUE!</v>
      </c>
      <c r="U209" s="511" t="e">
        <f t="shared" si="220"/>
        <v>#VALUE!</v>
      </c>
    </row>
    <row r="210" s="1" customFormat="1" ht="21.75" customHeight="1" spans="1:21">
      <c r="A210" s="512" t="s">
        <v>258</v>
      </c>
      <c r="B210" s="513">
        <f t="shared" ref="B210:I210" si="221">SUM(B211:B213)</f>
        <v>2677.366587</v>
      </c>
      <c r="C210" s="513">
        <f t="shared" si="221"/>
        <v>1150.656587</v>
      </c>
      <c r="D210" s="513">
        <f t="shared" si="221"/>
        <v>1009.756895</v>
      </c>
      <c r="E210" s="513">
        <f t="shared" si="221"/>
        <v>140.899692</v>
      </c>
      <c r="F210" s="513">
        <f t="shared" si="221"/>
        <v>1526.71</v>
      </c>
      <c r="G210" s="513" t="e">
        <f t="shared" si="221"/>
        <v>#VALUE!</v>
      </c>
      <c r="H210" s="513" t="e">
        <f t="shared" si="221"/>
        <v>#VALUE!</v>
      </c>
      <c r="I210" s="513" t="e">
        <f t="shared" si="221"/>
        <v>#VALUE!</v>
      </c>
      <c r="J210" s="523" t="e">
        <f t="shared" si="203"/>
        <v>#VALUE!</v>
      </c>
      <c r="K210" s="523" t="e">
        <f t="shared" si="204"/>
        <v>#VALUE!</v>
      </c>
      <c r="L210" s="523" t="e">
        <f t="shared" si="205"/>
        <v>#VALUE!</v>
      </c>
      <c r="O210" s="153"/>
      <c r="S210" s="513" t="e">
        <f t="shared" ref="S210:U210" si="222">SUM(S211:S213)</f>
        <v>#VALUE!</v>
      </c>
      <c r="T210" s="513" t="e">
        <f t="shared" si="222"/>
        <v>#VALUE!</v>
      </c>
      <c r="U210" s="513" t="e">
        <f t="shared" si="222"/>
        <v>#VALUE!</v>
      </c>
    </row>
    <row r="211" s="1" customFormat="1" ht="21.75" customHeight="1" spans="1:21">
      <c r="A211" s="514" t="s">
        <v>259</v>
      </c>
      <c r="B211" s="515">
        <v>1150.656587</v>
      </c>
      <c r="C211" s="515">
        <v>1150.656587</v>
      </c>
      <c r="D211" s="515">
        <v>1009.756895</v>
      </c>
      <c r="E211" s="515">
        <v>140.899692</v>
      </c>
      <c r="F211" s="515"/>
      <c r="G211" s="515" t="e">
        <f t="shared" ref="G211:G213" si="223">SUM(H211:I211)</f>
        <v>#VALUE!</v>
      </c>
      <c r="H211" s="515" t="e">
        <f>SUMIFS('[16]基本支出总表（开）'!P:P,'[16]基本支出总表（开）'!C:C,MID(A211,4,7))</f>
        <v>#VALUE!</v>
      </c>
      <c r="I211" s="515" t="e">
        <f>SUMIFS('[16]项目支出总表（开）'!Y:Y,'[16]项目支出总表（开）'!C:C,MID(A211,4,7))+SUMIFS('[16]项目支出总表（开）'!Z:Z,'[16]项目支出总表（开）'!C:C,MID(A211,4,7))</f>
        <v>#VALUE!</v>
      </c>
      <c r="J211" s="524" t="e">
        <f t="shared" si="203"/>
        <v>#VALUE!</v>
      </c>
      <c r="K211" s="524" t="e">
        <f t="shared" si="204"/>
        <v>#VALUE!</v>
      </c>
      <c r="L211" s="524" t="str">
        <f t="shared" si="205"/>
        <v/>
      </c>
      <c r="O211" s="153"/>
      <c r="S211" s="515" t="e">
        <f t="shared" ref="S211:S213" si="224">SUM(T211:U211)</f>
        <v>#VALUE!</v>
      </c>
      <c r="T211" s="515" t="e">
        <f>SUMIFS('[16]基本支出总表（开）'!M:M,'[16]基本支出总表（开）'!C:C,MID(TRIM(A211),2,7))</f>
        <v>#VALUE!</v>
      </c>
      <c r="U211" s="515" t="e">
        <f>SUMIFS('[16]项目支出总表（开）'!V:V,'[16]项目支出总表（开）'!C:C,MID(TRIM(A211),2,7))</f>
        <v>#VALUE!</v>
      </c>
    </row>
    <row r="212" s="1" customFormat="1" ht="21.75" customHeight="1" spans="1:21">
      <c r="A212" s="516" t="s">
        <v>260</v>
      </c>
      <c r="B212" s="515">
        <v>158.8</v>
      </c>
      <c r="C212" s="515"/>
      <c r="D212" s="515"/>
      <c r="E212" s="515"/>
      <c r="F212" s="515">
        <v>158.8</v>
      </c>
      <c r="G212" s="515" t="e">
        <f t="shared" si="223"/>
        <v>#VALUE!</v>
      </c>
      <c r="H212" s="515" t="e">
        <f>SUMIFS('[16]基本支出总表（开）'!P:P,'[16]基本支出总表（开）'!C:C,MID(A212,4,7))</f>
        <v>#VALUE!</v>
      </c>
      <c r="I212" s="515" t="e">
        <f>SUMIFS('[16]项目支出总表（开）'!Y:Y,'[16]项目支出总表（开）'!C:C,MID(A212,4,7))+SUMIFS('[16]项目支出总表（开）'!Z:Z,'[16]项目支出总表（开）'!C:C,MID(A212,4,7))</f>
        <v>#VALUE!</v>
      </c>
      <c r="J212" s="524" t="e">
        <f t="shared" si="203"/>
        <v>#VALUE!</v>
      </c>
      <c r="K212" s="524" t="str">
        <f t="shared" si="204"/>
        <v/>
      </c>
      <c r="L212" s="524" t="e">
        <f t="shared" si="205"/>
        <v>#VALUE!</v>
      </c>
      <c r="O212" s="153"/>
      <c r="S212" s="515" t="e">
        <f t="shared" si="224"/>
        <v>#VALUE!</v>
      </c>
      <c r="T212" s="515" t="e">
        <f>SUMIFS('[16]基本支出总表（开）'!M:M,'[16]基本支出总表（开）'!C:C,MID(TRIM(A212),2,7))</f>
        <v>#VALUE!</v>
      </c>
      <c r="U212" s="515" t="e">
        <f>SUMIFS('[16]项目支出总表（开）'!V:V,'[16]项目支出总表（开）'!C:C,MID(TRIM(A212),2,7))</f>
        <v>#VALUE!</v>
      </c>
    </row>
    <row r="213" s="1" customFormat="1" ht="21.75" customHeight="1" spans="1:21">
      <c r="A213" s="514" t="s">
        <v>261</v>
      </c>
      <c r="B213" s="515">
        <v>1367.91</v>
      </c>
      <c r="C213" s="515"/>
      <c r="D213" s="515"/>
      <c r="E213" s="515"/>
      <c r="F213" s="515">
        <v>1367.91</v>
      </c>
      <c r="G213" s="515" t="e">
        <f t="shared" si="223"/>
        <v>#VALUE!</v>
      </c>
      <c r="H213" s="515" t="e">
        <f>SUMIFS('[16]基本支出总表（开）'!P:P,'[16]基本支出总表（开）'!C:C,MID(A213,4,7))</f>
        <v>#VALUE!</v>
      </c>
      <c r="I213" s="515" t="e">
        <f>SUMIFS('[16]项目支出总表（开）'!Y:Y,'[16]项目支出总表（开）'!C:C,MID(A213,4,7))+SUMIFS('[16]项目支出总表（开）'!Z:Z,'[16]项目支出总表（开）'!C:C,MID(A213,4,7))</f>
        <v>#VALUE!</v>
      </c>
      <c r="J213" s="524" t="e">
        <f t="shared" si="203"/>
        <v>#VALUE!</v>
      </c>
      <c r="K213" s="524" t="str">
        <f t="shared" si="204"/>
        <v/>
      </c>
      <c r="L213" s="524" t="e">
        <f t="shared" si="205"/>
        <v>#VALUE!</v>
      </c>
      <c r="O213" s="153"/>
      <c r="S213" s="515" t="e">
        <f t="shared" si="224"/>
        <v>#VALUE!</v>
      </c>
      <c r="T213" s="515" t="e">
        <f>SUMIFS('[16]基本支出总表（开）'!M:M,'[16]基本支出总表（开）'!C:C,MID(TRIM(A213),2,7))</f>
        <v>#VALUE!</v>
      </c>
      <c r="U213" s="515" t="e">
        <f>SUMIFS('[16]项目支出总表（开）'!V:V,'[16]项目支出总表（开）'!C:C,MID(TRIM(A213),2,7))</f>
        <v>#VALUE!</v>
      </c>
    </row>
    <row r="214" s="1" customFormat="1" ht="21.75" customHeight="1" spans="1:21">
      <c r="A214" s="512" t="s">
        <v>262</v>
      </c>
      <c r="B214" s="513">
        <f t="shared" ref="B214:I214" si="225">SUM(B215)</f>
        <v>29389.55</v>
      </c>
      <c r="C214" s="513">
        <f t="shared" si="225"/>
        <v>0</v>
      </c>
      <c r="D214" s="513">
        <f t="shared" si="225"/>
        <v>0</v>
      </c>
      <c r="E214" s="513">
        <f t="shared" si="225"/>
        <v>0</v>
      </c>
      <c r="F214" s="513">
        <f t="shared" si="225"/>
        <v>29389.55</v>
      </c>
      <c r="G214" s="513" t="e">
        <f t="shared" si="225"/>
        <v>#VALUE!</v>
      </c>
      <c r="H214" s="513" t="e">
        <f t="shared" si="225"/>
        <v>#VALUE!</v>
      </c>
      <c r="I214" s="513" t="e">
        <f t="shared" si="225"/>
        <v>#VALUE!</v>
      </c>
      <c r="J214" s="523" t="e">
        <f t="shared" si="203"/>
        <v>#VALUE!</v>
      </c>
      <c r="K214" s="523" t="str">
        <f t="shared" si="204"/>
        <v/>
      </c>
      <c r="L214" s="523" t="e">
        <f t="shared" si="205"/>
        <v>#VALUE!</v>
      </c>
      <c r="O214" s="153"/>
      <c r="S214" s="513" t="e">
        <f t="shared" ref="S214:U214" si="226">SUM(S215)</f>
        <v>#VALUE!</v>
      </c>
      <c r="T214" s="513" t="e">
        <f t="shared" si="226"/>
        <v>#VALUE!</v>
      </c>
      <c r="U214" s="513" t="e">
        <f t="shared" si="226"/>
        <v>#VALUE!</v>
      </c>
    </row>
    <row r="215" s="1" customFormat="1" ht="21.75" customHeight="1" spans="1:21">
      <c r="A215" s="514" t="s">
        <v>264</v>
      </c>
      <c r="B215" s="515">
        <v>29389.55</v>
      </c>
      <c r="C215" s="515"/>
      <c r="D215" s="515"/>
      <c r="E215" s="515"/>
      <c r="F215" s="515">
        <v>29389.55</v>
      </c>
      <c r="G215" s="515" t="e">
        <f t="shared" ref="G215:G219" si="227">SUM(H215:I215)</f>
        <v>#VALUE!</v>
      </c>
      <c r="H215" s="515" t="e">
        <f>SUMIFS('[16]基本支出总表（开）'!P:P,'[16]基本支出总表（开）'!C:C,MID(A215,4,7))</f>
        <v>#VALUE!</v>
      </c>
      <c r="I215" s="515" t="e">
        <f>SUMIFS('[16]项目支出总表（开）'!Y:Y,'[16]项目支出总表（开）'!C:C,MID(A215,4,7))+SUMIFS('[16]项目支出总表（开）'!Z:Z,'[16]项目支出总表（开）'!C:C,MID(A215,4,7))</f>
        <v>#VALUE!</v>
      </c>
      <c r="J215" s="524" t="e">
        <f t="shared" si="203"/>
        <v>#VALUE!</v>
      </c>
      <c r="K215" s="524" t="str">
        <f t="shared" si="204"/>
        <v/>
      </c>
      <c r="L215" s="524" t="e">
        <f t="shared" si="205"/>
        <v>#VALUE!</v>
      </c>
      <c r="O215" s="153"/>
      <c r="S215" s="515" t="e">
        <f t="shared" ref="S215:S219" si="228">SUM(T215:U215)</f>
        <v>#VALUE!</v>
      </c>
      <c r="T215" s="515" t="e">
        <f>SUMIFS('[16]基本支出总表（开）'!M:M,'[16]基本支出总表（开）'!C:C,MID(TRIM(A215),2,7))</f>
        <v>#VALUE!</v>
      </c>
      <c r="U215" s="515" t="e">
        <f>SUMIFS('[16]项目支出总表（开）'!V:V,'[16]项目支出总表（开）'!C:C,MID(TRIM(A215),2,7))</f>
        <v>#VALUE!</v>
      </c>
    </row>
    <row r="216" s="1" customFormat="1" ht="21.75" customHeight="1" spans="1:21">
      <c r="A216" s="512" t="s">
        <v>265</v>
      </c>
      <c r="B216" s="513">
        <f t="shared" ref="B216:I216" si="229">SUM(B217)</f>
        <v>4311.46</v>
      </c>
      <c r="C216" s="513">
        <f t="shared" si="229"/>
        <v>0</v>
      </c>
      <c r="D216" s="513">
        <f t="shared" si="229"/>
        <v>0</v>
      </c>
      <c r="E216" s="513">
        <f t="shared" si="229"/>
        <v>0</v>
      </c>
      <c r="F216" s="513">
        <f t="shared" si="229"/>
        <v>4311.46</v>
      </c>
      <c r="G216" s="513" t="e">
        <f t="shared" si="229"/>
        <v>#VALUE!</v>
      </c>
      <c r="H216" s="513" t="e">
        <f t="shared" si="229"/>
        <v>#VALUE!</v>
      </c>
      <c r="I216" s="513" t="e">
        <f t="shared" si="229"/>
        <v>#VALUE!</v>
      </c>
      <c r="J216" s="523" t="e">
        <f t="shared" si="203"/>
        <v>#VALUE!</v>
      </c>
      <c r="K216" s="523" t="str">
        <f t="shared" si="204"/>
        <v/>
      </c>
      <c r="L216" s="523" t="e">
        <f t="shared" si="205"/>
        <v>#VALUE!</v>
      </c>
      <c r="O216" s="153"/>
      <c r="S216" s="513" t="e">
        <f t="shared" ref="S216:U216" si="230">SUM(S217)</f>
        <v>#VALUE!</v>
      </c>
      <c r="T216" s="513" t="e">
        <f t="shared" si="230"/>
        <v>#VALUE!</v>
      </c>
      <c r="U216" s="513" t="e">
        <f t="shared" si="230"/>
        <v>#VALUE!</v>
      </c>
    </row>
    <row r="217" s="1" customFormat="1" ht="21.75" customHeight="1" spans="1:21">
      <c r="A217" s="514" t="s">
        <v>266</v>
      </c>
      <c r="B217" s="515">
        <v>4311.46</v>
      </c>
      <c r="C217" s="515"/>
      <c r="D217" s="515"/>
      <c r="E217" s="515"/>
      <c r="F217" s="515">
        <v>4311.46</v>
      </c>
      <c r="G217" s="515" t="e">
        <f t="shared" si="227"/>
        <v>#VALUE!</v>
      </c>
      <c r="H217" s="515" t="e">
        <f>SUMIFS('[16]基本支出总表（开）'!P:P,'[16]基本支出总表（开）'!C:C,MID(A217,4,7))</f>
        <v>#VALUE!</v>
      </c>
      <c r="I217" s="515" t="e">
        <f>SUMIFS('[16]项目支出总表（开）'!Y:Y,'[16]项目支出总表（开）'!C:C,MID(A217,4,7))+SUMIFS('[16]项目支出总表（开）'!Z:Z,'[16]项目支出总表（开）'!C:C,MID(A217,4,7))</f>
        <v>#VALUE!</v>
      </c>
      <c r="J217" s="524" t="e">
        <f t="shared" si="203"/>
        <v>#VALUE!</v>
      </c>
      <c r="K217" s="524" t="str">
        <f t="shared" si="204"/>
        <v/>
      </c>
      <c r="L217" s="524" t="e">
        <f t="shared" si="205"/>
        <v>#VALUE!</v>
      </c>
      <c r="O217" s="153"/>
      <c r="S217" s="515" t="e">
        <f t="shared" si="228"/>
        <v>#VALUE!</v>
      </c>
      <c r="T217" s="515" t="e">
        <f>SUMIFS('[16]基本支出总表（开）'!M:M,'[16]基本支出总表（开）'!C:C,MID(TRIM(A217),2,7))</f>
        <v>#VALUE!</v>
      </c>
      <c r="U217" s="515" t="e">
        <f>SUMIFS('[16]项目支出总表（开）'!V:V,'[16]项目支出总表（开）'!C:C,MID(TRIM(A217),2,7))</f>
        <v>#VALUE!</v>
      </c>
    </row>
    <row r="218" s="1" customFormat="1" ht="21.75" customHeight="1" spans="1:21">
      <c r="A218" s="517" t="s">
        <v>267</v>
      </c>
      <c r="B218" s="513">
        <f t="shared" ref="B218:I218" si="231">SUM(B219)</f>
        <v>0</v>
      </c>
      <c r="C218" s="513">
        <f t="shared" si="231"/>
        <v>0</v>
      </c>
      <c r="D218" s="513">
        <f t="shared" si="231"/>
        <v>0</v>
      </c>
      <c r="E218" s="513">
        <f t="shared" si="231"/>
        <v>0</v>
      </c>
      <c r="F218" s="513">
        <f t="shared" si="231"/>
        <v>0</v>
      </c>
      <c r="G218" s="513" t="e">
        <f t="shared" si="231"/>
        <v>#VALUE!</v>
      </c>
      <c r="H218" s="513" t="e">
        <f t="shared" si="231"/>
        <v>#VALUE!</v>
      </c>
      <c r="I218" s="513" t="e">
        <f t="shared" si="231"/>
        <v>#VALUE!</v>
      </c>
      <c r="J218" s="523" t="str">
        <f t="shared" si="203"/>
        <v/>
      </c>
      <c r="K218" s="523" t="str">
        <f t="shared" si="204"/>
        <v/>
      </c>
      <c r="L218" s="523" t="str">
        <f t="shared" si="205"/>
        <v/>
      </c>
      <c r="O218" s="153"/>
      <c r="S218" s="513" t="e">
        <f t="shared" ref="S218:U218" si="232">SUM(S219)</f>
        <v>#VALUE!</v>
      </c>
      <c r="T218" s="513" t="e">
        <f t="shared" si="232"/>
        <v>#VALUE!</v>
      </c>
      <c r="U218" s="513" t="e">
        <f t="shared" si="232"/>
        <v>#VALUE!</v>
      </c>
    </row>
    <row r="219" s="1" customFormat="1" ht="21.75" customHeight="1" spans="1:21">
      <c r="A219" s="516" t="s">
        <v>268</v>
      </c>
      <c r="B219" s="515"/>
      <c r="C219" s="515"/>
      <c r="D219" s="515"/>
      <c r="E219" s="515"/>
      <c r="F219" s="515"/>
      <c r="G219" s="515" t="e">
        <f t="shared" si="227"/>
        <v>#VALUE!</v>
      </c>
      <c r="H219" s="515" t="e">
        <f>SUMIFS('[16]基本支出总表（开）'!P:P,'[16]基本支出总表（开）'!C:C,MID(A219,4,7))</f>
        <v>#VALUE!</v>
      </c>
      <c r="I219" s="515" t="e">
        <f>SUMIFS('[16]项目支出总表（开）'!Y:Y,'[16]项目支出总表（开）'!C:C,MID(A219,4,7))+SUMIFS('[16]项目支出总表（开）'!Z:Z,'[16]项目支出总表（开）'!C:C,MID(A219,4,7))</f>
        <v>#VALUE!</v>
      </c>
      <c r="J219" s="524" t="str">
        <f t="shared" si="203"/>
        <v/>
      </c>
      <c r="K219" s="524" t="str">
        <f t="shared" si="204"/>
        <v/>
      </c>
      <c r="L219" s="524" t="str">
        <f t="shared" si="205"/>
        <v/>
      </c>
      <c r="O219" s="153"/>
      <c r="S219" s="515" t="e">
        <f t="shared" si="228"/>
        <v>#VALUE!</v>
      </c>
      <c r="T219" s="515" t="e">
        <f>SUMIFS('[16]基本支出总表（开）'!M:M,'[16]基本支出总表（开）'!C:C,MID(TRIM(A219),2,7))</f>
        <v>#VALUE!</v>
      </c>
      <c r="U219" s="515" t="e">
        <f>SUMIFS('[16]项目支出总表（开）'!V:V,'[16]项目支出总表（开）'!C:C,MID(TRIM(A219),2,7))</f>
        <v>#VALUE!</v>
      </c>
    </row>
    <row r="220" s="1" customFormat="1" ht="21.75" customHeight="1" spans="1:21">
      <c r="A220" s="510" t="s">
        <v>269</v>
      </c>
      <c r="B220" s="511">
        <f t="shared" ref="B220:I220" si="233">B221+B235+B242+B248+B252+B258+B256</f>
        <v>9891.665949</v>
      </c>
      <c r="C220" s="511">
        <f t="shared" si="233"/>
        <v>775.645949</v>
      </c>
      <c r="D220" s="511">
        <f t="shared" si="233"/>
        <v>708.934553</v>
      </c>
      <c r="E220" s="511">
        <f t="shared" si="233"/>
        <v>66.711396</v>
      </c>
      <c r="F220" s="511">
        <f t="shared" si="233"/>
        <v>9116.02</v>
      </c>
      <c r="G220" s="511" t="e">
        <f t="shared" si="233"/>
        <v>#VALUE!</v>
      </c>
      <c r="H220" s="511" t="e">
        <f t="shared" si="233"/>
        <v>#VALUE!</v>
      </c>
      <c r="I220" s="511" t="e">
        <f t="shared" si="233"/>
        <v>#VALUE!</v>
      </c>
      <c r="J220" s="522" t="e">
        <f t="shared" si="203"/>
        <v>#VALUE!</v>
      </c>
      <c r="K220" s="522" t="e">
        <f t="shared" si="204"/>
        <v>#VALUE!</v>
      </c>
      <c r="L220" s="522" t="e">
        <f t="shared" si="205"/>
        <v>#VALUE!</v>
      </c>
      <c r="O220" s="153"/>
      <c r="S220" s="511" t="e">
        <f t="shared" ref="S220:U220" si="234">S221+S235+S242+S248+S252+S258+S256</f>
        <v>#VALUE!</v>
      </c>
      <c r="T220" s="511" t="e">
        <f t="shared" si="234"/>
        <v>#VALUE!</v>
      </c>
      <c r="U220" s="511" t="e">
        <f t="shared" si="234"/>
        <v>#VALUE!</v>
      </c>
    </row>
    <row r="221" s="1" customFormat="1" ht="21.75" customHeight="1" spans="1:21">
      <c r="A221" s="512" t="s">
        <v>270</v>
      </c>
      <c r="B221" s="513">
        <f t="shared" ref="B221:I221" si="235">SUM(B222:B234)</f>
        <v>1974.474623</v>
      </c>
      <c r="C221" s="513">
        <f t="shared" si="235"/>
        <v>466.934623</v>
      </c>
      <c r="D221" s="513">
        <f t="shared" si="235"/>
        <v>425.609168</v>
      </c>
      <c r="E221" s="513">
        <f t="shared" si="235"/>
        <v>41.325455</v>
      </c>
      <c r="F221" s="513">
        <f t="shared" si="235"/>
        <v>1507.54</v>
      </c>
      <c r="G221" s="513" t="e">
        <f t="shared" si="235"/>
        <v>#VALUE!</v>
      </c>
      <c r="H221" s="513" t="e">
        <f t="shared" si="235"/>
        <v>#VALUE!</v>
      </c>
      <c r="I221" s="513" t="e">
        <f t="shared" si="235"/>
        <v>#VALUE!</v>
      </c>
      <c r="J221" s="523" t="e">
        <f t="shared" si="203"/>
        <v>#VALUE!</v>
      </c>
      <c r="K221" s="523" t="e">
        <f t="shared" si="204"/>
        <v>#VALUE!</v>
      </c>
      <c r="L221" s="523" t="e">
        <f t="shared" si="205"/>
        <v>#VALUE!</v>
      </c>
      <c r="O221" s="153"/>
      <c r="S221" s="513" t="e">
        <f t="shared" ref="S221:U221" si="236">SUM(S222:S234)</f>
        <v>#VALUE!</v>
      </c>
      <c r="T221" s="513" t="e">
        <f t="shared" si="236"/>
        <v>#VALUE!</v>
      </c>
      <c r="U221" s="513" t="e">
        <f t="shared" si="236"/>
        <v>#VALUE!</v>
      </c>
    </row>
    <row r="222" s="1" customFormat="1" ht="21.75" customHeight="1" spans="1:21">
      <c r="A222" s="514" t="s">
        <v>271</v>
      </c>
      <c r="B222" s="515">
        <v>329.231527</v>
      </c>
      <c r="C222" s="515">
        <v>329.231527</v>
      </c>
      <c r="D222" s="515">
        <v>298.681946</v>
      </c>
      <c r="E222" s="515">
        <v>30.549581</v>
      </c>
      <c r="F222" s="515"/>
      <c r="G222" s="515" t="e">
        <f t="shared" ref="G222:G234" si="237">SUM(H222:I222)</f>
        <v>#VALUE!</v>
      </c>
      <c r="H222" s="515" t="e">
        <f>SUMIFS('[16]基本支出总表（开）'!P:P,'[16]基本支出总表（开）'!C:C,MID(A222,4,7))</f>
        <v>#VALUE!</v>
      </c>
      <c r="I222" s="515" t="e">
        <f>SUMIFS('[16]项目支出总表（开）'!Y:Y,'[16]项目支出总表（开）'!C:C,MID(A222,4,7))+SUMIFS('[16]项目支出总表（开）'!Z:Z,'[16]项目支出总表（开）'!C:C,MID(A222,4,7))</f>
        <v>#VALUE!</v>
      </c>
      <c r="J222" s="524" t="e">
        <f t="shared" si="203"/>
        <v>#VALUE!</v>
      </c>
      <c r="K222" s="524" t="e">
        <f t="shared" si="204"/>
        <v>#VALUE!</v>
      </c>
      <c r="L222" s="524" t="str">
        <f t="shared" si="205"/>
        <v/>
      </c>
      <c r="O222" s="153"/>
      <c r="S222" s="515" t="e">
        <f t="shared" ref="S222:S234" si="238">SUM(T222:U222)</f>
        <v>#VALUE!</v>
      </c>
      <c r="T222" s="515" t="e">
        <f>SUMIFS('[16]基本支出总表（开）'!M:M,'[16]基本支出总表（开）'!C:C,MID(TRIM(A222),2,7))</f>
        <v>#VALUE!</v>
      </c>
      <c r="U222" s="515" t="e">
        <f>SUMIFS('[16]项目支出总表（开）'!V:V,'[16]项目支出总表（开）'!C:C,MID(TRIM(A222),2,7))</f>
        <v>#VALUE!</v>
      </c>
    </row>
    <row r="223" s="1" customFormat="1" ht="21.75" customHeight="1" spans="1:21">
      <c r="A223" s="516" t="s">
        <v>272</v>
      </c>
      <c r="B223" s="515"/>
      <c r="C223" s="515"/>
      <c r="D223" s="515"/>
      <c r="E223" s="515"/>
      <c r="F223" s="515"/>
      <c r="G223" s="515" t="e">
        <f t="shared" si="237"/>
        <v>#VALUE!</v>
      </c>
      <c r="H223" s="515" t="e">
        <f>SUMIFS('[16]基本支出总表（开）'!P:P,'[16]基本支出总表（开）'!C:C,MID(A223,4,7))</f>
        <v>#VALUE!</v>
      </c>
      <c r="I223" s="515" t="e">
        <f>SUMIFS('[16]项目支出总表（开）'!Y:Y,'[16]项目支出总表（开）'!C:C,MID(A223,4,7))+SUMIFS('[16]项目支出总表（开）'!Z:Z,'[16]项目支出总表（开）'!C:C,MID(A223,4,7))</f>
        <v>#VALUE!</v>
      </c>
      <c r="J223" s="524" t="str">
        <f t="shared" si="203"/>
        <v/>
      </c>
      <c r="K223" s="524" t="str">
        <f t="shared" si="204"/>
        <v/>
      </c>
      <c r="L223" s="524" t="str">
        <f t="shared" si="205"/>
        <v/>
      </c>
      <c r="O223" s="153"/>
      <c r="S223" s="515" t="e">
        <f t="shared" si="238"/>
        <v>#VALUE!</v>
      </c>
      <c r="T223" s="515" t="e">
        <f>SUMIFS('[16]基本支出总表（开）'!M:M,'[16]基本支出总表（开）'!C:C,MID(TRIM(A223),2,7))</f>
        <v>#VALUE!</v>
      </c>
      <c r="U223" s="515" t="e">
        <f>SUMIFS('[16]项目支出总表（开）'!V:V,'[16]项目支出总表（开）'!C:C,MID(TRIM(A223),2,7))</f>
        <v>#VALUE!</v>
      </c>
    </row>
    <row r="224" s="1" customFormat="1" ht="21.75" customHeight="1" spans="1:21">
      <c r="A224" s="514" t="s">
        <v>273</v>
      </c>
      <c r="B224" s="515">
        <v>137.703096</v>
      </c>
      <c r="C224" s="515">
        <v>137.703096</v>
      </c>
      <c r="D224" s="515">
        <v>126.927222</v>
      </c>
      <c r="E224" s="515">
        <v>10.775874</v>
      </c>
      <c r="F224" s="515"/>
      <c r="G224" s="515" t="e">
        <f t="shared" si="237"/>
        <v>#VALUE!</v>
      </c>
      <c r="H224" s="515" t="e">
        <f>SUMIFS('[16]基本支出总表（开）'!P:P,'[16]基本支出总表（开）'!C:C,MID(A224,4,7))</f>
        <v>#VALUE!</v>
      </c>
      <c r="I224" s="515" t="e">
        <f>SUMIFS('[16]项目支出总表（开）'!Y:Y,'[16]项目支出总表（开）'!C:C,MID(A224,4,7))+SUMIFS('[16]项目支出总表（开）'!Z:Z,'[16]项目支出总表（开）'!C:C,MID(A224,4,7))</f>
        <v>#VALUE!</v>
      </c>
      <c r="J224" s="524" t="e">
        <f t="shared" si="203"/>
        <v>#VALUE!</v>
      </c>
      <c r="K224" s="524" t="e">
        <f t="shared" si="204"/>
        <v>#VALUE!</v>
      </c>
      <c r="L224" s="524" t="str">
        <f t="shared" si="205"/>
        <v/>
      </c>
      <c r="O224" s="153"/>
      <c r="S224" s="515" t="e">
        <f t="shared" si="238"/>
        <v>#VALUE!</v>
      </c>
      <c r="T224" s="515" t="e">
        <f>SUMIFS('[16]基本支出总表（开）'!M:M,'[16]基本支出总表（开）'!C:C,MID(TRIM(A224),2,7))</f>
        <v>#VALUE!</v>
      </c>
      <c r="U224" s="515" t="e">
        <f>SUMIFS('[16]项目支出总表（开）'!V:V,'[16]项目支出总表（开）'!C:C,MID(TRIM(A224),2,7))</f>
        <v>#VALUE!</v>
      </c>
    </row>
    <row r="225" s="1" customFormat="1" ht="21.75" customHeight="1" spans="1:21">
      <c r="A225" s="514" t="s">
        <v>274</v>
      </c>
      <c r="B225" s="515">
        <v>50</v>
      </c>
      <c r="C225" s="515"/>
      <c r="D225" s="515"/>
      <c r="E225" s="515"/>
      <c r="F225" s="515">
        <v>50</v>
      </c>
      <c r="G225" s="515" t="e">
        <f t="shared" si="237"/>
        <v>#VALUE!</v>
      </c>
      <c r="H225" s="515" t="e">
        <f>SUMIFS('[16]基本支出总表（开）'!P:P,'[16]基本支出总表（开）'!C:C,MID(A225,4,7))</f>
        <v>#VALUE!</v>
      </c>
      <c r="I225" s="515" t="e">
        <f>SUMIFS('[16]项目支出总表（开）'!Y:Y,'[16]项目支出总表（开）'!C:C,MID(A225,4,7))+SUMIFS('[16]项目支出总表（开）'!Z:Z,'[16]项目支出总表（开）'!C:C,MID(A225,4,7))</f>
        <v>#VALUE!</v>
      </c>
      <c r="J225" s="524" t="e">
        <f t="shared" si="203"/>
        <v>#VALUE!</v>
      </c>
      <c r="K225" s="524" t="str">
        <f t="shared" si="204"/>
        <v/>
      </c>
      <c r="L225" s="524" t="e">
        <f t="shared" si="205"/>
        <v>#VALUE!</v>
      </c>
      <c r="O225" s="153"/>
      <c r="S225" s="515" t="e">
        <f t="shared" si="238"/>
        <v>#VALUE!</v>
      </c>
      <c r="T225" s="515" t="e">
        <f>SUMIFS('[16]基本支出总表（开）'!M:M,'[16]基本支出总表（开）'!C:C,MID(TRIM(A225),2,7))</f>
        <v>#VALUE!</v>
      </c>
      <c r="U225" s="515" t="e">
        <f>SUMIFS('[16]项目支出总表（开）'!V:V,'[16]项目支出总表（开）'!C:C,MID(TRIM(A225),2,7))</f>
        <v>#VALUE!</v>
      </c>
    </row>
    <row r="226" s="1" customFormat="1" ht="21.75" customHeight="1" spans="1:21">
      <c r="A226" s="516" t="s">
        <v>275</v>
      </c>
      <c r="B226" s="515"/>
      <c r="C226" s="515"/>
      <c r="D226" s="515"/>
      <c r="E226" s="515"/>
      <c r="F226" s="515"/>
      <c r="G226" s="515" t="e">
        <f t="shared" si="237"/>
        <v>#VALUE!</v>
      </c>
      <c r="H226" s="515" t="e">
        <f>SUMIFS('[16]基本支出总表（开）'!P:P,'[16]基本支出总表（开）'!C:C,MID(A226,4,7))</f>
        <v>#VALUE!</v>
      </c>
      <c r="I226" s="515" t="e">
        <f>SUMIFS('[16]项目支出总表（开）'!Y:Y,'[16]项目支出总表（开）'!C:C,MID(A226,4,7))+SUMIFS('[16]项目支出总表（开）'!Z:Z,'[16]项目支出总表（开）'!C:C,MID(A226,4,7))</f>
        <v>#VALUE!</v>
      </c>
      <c r="J226" s="524" t="str">
        <f t="shared" si="203"/>
        <v/>
      </c>
      <c r="K226" s="524" t="str">
        <f t="shared" si="204"/>
        <v/>
      </c>
      <c r="L226" s="524" t="str">
        <f t="shared" si="205"/>
        <v/>
      </c>
      <c r="O226" s="153"/>
      <c r="S226" s="515" t="e">
        <f t="shared" si="238"/>
        <v>#VALUE!</v>
      </c>
      <c r="T226" s="515" t="e">
        <f>SUMIFS('[16]基本支出总表（开）'!M:M,'[16]基本支出总表（开）'!C:C,MID(TRIM(A226),2,7))</f>
        <v>#VALUE!</v>
      </c>
      <c r="U226" s="515" t="e">
        <f>SUMIFS('[16]项目支出总表（开）'!V:V,'[16]项目支出总表（开）'!C:C,MID(TRIM(A226),2,7))</f>
        <v>#VALUE!</v>
      </c>
    </row>
    <row r="227" s="1" customFormat="1" ht="21.75" customHeight="1" spans="1:21">
      <c r="A227" s="514" t="s">
        <v>276</v>
      </c>
      <c r="B227" s="515">
        <v>55</v>
      </c>
      <c r="C227" s="515"/>
      <c r="D227" s="515"/>
      <c r="E227" s="515"/>
      <c r="F227" s="515">
        <v>55</v>
      </c>
      <c r="G227" s="515" t="e">
        <f t="shared" si="237"/>
        <v>#VALUE!</v>
      </c>
      <c r="H227" s="515" t="e">
        <f>SUMIFS('[16]基本支出总表（开）'!P:P,'[16]基本支出总表（开）'!C:C,MID(A227,4,7))</f>
        <v>#VALUE!</v>
      </c>
      <c r="I227" s="515" t="e">
        <f>SUMIFS('[16]项目支出总表（开）'!Y:Y,'[16]项目支出总表（开）'!C:C,MID(A227,4,7))+SUMIFS('[16]项目支出总表（开）'!Z:Z,'[16]项目支出总表（开）'!C:C,MID(A227,4,7))</f>
        <v>#VALUE!</v>
      </c>
      <c r="J227" s="524" t="e">
        <f t="shared" si="203"/>
        <v>#VALUE!</v>
      </c>
      <c r="K227" s="524" t="str">
        <f t="shared" si="204"/>
        <v/>
      </c>
      <c r="L227" s="524" t="e">
        <f t="shared" si="205"/>
        <v>#VALUE!</v>
      </c>
      <c r="O227" s="153"/>
      <c r="S227" s="515" t="e">
        <f t="shared" si="238"/>
        <v>#VALUE!</v>
      </c>
      <c r="T227" s="515" t="e">
        <f>SUMIFS('[16]基本支出总表（开）'!M:M,'[16]基本支出总表（开）'!C:C,MID(TRIM(A227),2,7))</f>
        <v>#VALUE!</v>
      </c>
      <c r="U227" s="515" t="e">
        <f>SUMIFS('[16]项目支出总表（开）'!V:V,'[16]项目支出总表（开）'!C:C,MID(TRIM(A227),2,7))</f>
        <v>#VALUE!</v>
      </c>
    </row>
    <row r="228" s="1" customFormat="1" ht="21.75" customHeight="1" spans="1:21">
      <c r="A228" s="516" t="s">
        <v>277</v>
      </c>
      <c r="B228" s="515"/>
      <c r="C228" s="515"/>
      <c r="D228" s="515"/>
      <c r="E228" s="515"/>
      <c r="F228" s="515"/>
      <c r="G228" s="515" t="e">
        <f t="shared" si="237"/>
        <v>#VALUE!</v>
      </c>
      <c r="H228" s="515" t="e">
        <f>SUMIFS('[16]基本支出总表（开）'!P:P,'[16]基本支出总表（开）'!C:C,MID(A228,4,7))</f>
        <v>#VALUE!</v>
      </c>
      <c r="I228" s="515" t="e">
        <f>SUMIFS('[16]项目支出总表（开）'!Y:Y,'[16]项目支出总表（开）'!C:C,MID(A228,4,7))+SUMIFS('[16]项目支出总表（开）'!Z:Z,'[16]项目支出总表（开）'!C:C,MID(A228,4,7))</f>
        <v>#VALUE!</v>
      </c>
      <c r="J228" s="524" t="str">
        <f t="shared" si="203"/>
        <v/>
      </c>
      <c r="K228" s="524" t="str">
        <f t="shared" si="204"/>
        <v/>
      </c>
      <c r="L228" s="524" t="str">
        <f t="shared" si="205"/>
        <v/>
      </c>
      <c r="O228" s="153"/>
      <c r="S228" s="515" t="e">
        <f t="shared" si="238"/>
        <v>#VALUE!</v>
      </c>
      <c r="T228" s="515" t="e">
        <f>SUMIFS('[16]基本支出总表（开）'!M:M,'[16]基本支出总表（开）'!C:C,MID(TRIM(A228),2,7))</f>
        <v>#VALUE!</v>
      </c>
      <c r="U228" s="515" t="e">
        <f>SUMIFS('[16]项目支出总表（开）'!V:V,'[16]项目支出总表（开）'!C:C,MID(TRIM(A228),2,7))</f>
        <v>#VALUE!</v>
      </c>
    </row>
    <row r="229" s="1" customFormat="1" ht="21.75" customHeight="1" spans="1:21">
      <c r="A229" s="516" t="s">
        <v>278</v>
      </c>
      <c r="B229" s="515">
        <v>20</v>
      </c>
      <c r="C229" s="515"/>
      <c r="D229" s="515"/>
      <c r="E229" s="515"/>
      <c r="F229" s="515">
        <v>20</v>
      </c>
      <c r="G229" s="515" t="e">
        <f t="shared" si="237"/>
        <v>#VALUE!</v>
      </c>
      <c r="H229" s="515" t="e">
        <f>SUMIFS('[16]基本支出总表（开）'!P:P,'[16]基本支出总表（开）'!C:C,MID(A229,4,7))</f>
        <v>#VALUE!</v>
      </c>
      <c r="I229" s="515" t="e">
        <f>SUMIFS('[16]项目支出总表（开）'!Y:Y,'[16]项目支出总表（开）'!C:C,MID(A229,4,7))+SUMIFS('[16]项目支出总表（开）'!Z:Z,'[16]项目支出总表（开）'!C:C,MID(A229,4,7))</f>
        <v>#VALUE!</v>
      </c>
      <c r="J229" s="524" t="e">
        <f t="shared" si="203"/>
        <v>#VALUE!</v>
      </c>
      <c r="K229" s="524" t="str">
        <f t="shared" si="204"/>
        <v/>
      </c>
      <c r="L229" s="524" t="e">
        <f t="shared" si="205"/>
        <v>#VALUE!</v>
      </c>
      <c r="O229" s="153"/>
      <c r="S229" s="515" t="e">
        <f t="shared" si="238"/>
        <v>#VALUE!</v>
      </c>
      <c r="T229" s="515" t="e">
        <f>SUMIFS('[16]基本支出总表（开）'!M:M,'[16]基本支出总表（开）'!C:C,MID(TRIM(A229),2,7))</f>
        <v>#VALUE!</v>
      </c>
      <c r="U229" s="515" t="e">
        <f>SUMIFS('[16]项目支出总表（开）'!V:V,'[16]项目支出总表（开）'!C:C,MID(TRIM(A229),2,7))</f>
        <v>#VALUE!</v>
      </c>
    </row>
    <row r="230" s="1" customFormat="1" ht="21.75" customHeight="1" spans="1:21">
      <c r="A230" s="516" t="s">
        <v>279</v>
      </c>
      <c r="B230" s="515"/>
      <c r="C230" s="515"/>
      <c r="D230" s="515"/>
      <c r="E230" s="515"/>
      <c r="F230" s="515"/>
      <c r="G230" s="515" t="e">
        <f t="shared" si="237"/>
        <v>#VALUE!</v>
      </c>
      <c r="H230" s="515" t="e">
        <f>SUMIFS('[16]基本支出总表（开）'!P:P,'[16]基本支出总表（开）'!C:C,MID(A230,4,7))</f>
        <v>#VALUE!</v>
      </c>
      <c r="I230" s="515" t="e">
        <f>SUMIFS('[16]项目支出总表（开）'!Y:Y,'[16]项目支出总表（开）'!C:C,MID(A230,4,7))+SUMIFS('[16]项目支出总表（开）'!Z:Z,'[16]项目支出总表（开）'!C:C,MID(A230,4,7))</f>
        <v>#VALUE!</v>
      </c>
      <c r="J230" s="524" t="str">
        <f t="shared" si="203"/>
        <v/>
      </c>
      <c r="K230" s="524" t="str">
        <f t="shared" si="204"/>
        <v/>
      </c>
      <c r="L230" s="524" t="str">
        <f t="shared" si="205"/>
        <v/>
      </c>
      <c r="O230" s="153"/>
      <c r="S230" s="515" t="e">
        <f t="shared" si="238"/>
        <v>#VALUE!</v>
      </c>
      <c r="T230" s="515" t="e">
        <f>SUMIFS('[16]基本支出总表（开）'!M:M,'[16]基本支出总表（开）'!C:C,MID(TRIM(A230),2,7))</f>
        <v>#VALUE!</v>
      </c>
      <c r="U230" s="515" t="e">
        <f>SUMIFS('[16]项目支出总表（开）'!V:V,'[16]项目支出总表（开）'!C:C,MID(TRIM(A230),2,7))</f>
        <v>#VALUE!</v>
      </c>
    </row>
    <row r="231" s="1" customFormat="1" ht="21.75" customHeight="1" spans="1:21">
      <c r="A231" s="516" t="s">
        <v>280</v>
      </c>
      <c r="B231" s="515"/>
      <c r="C231" s="515"/>
      <c r="D231" s="515"/>
      <c r="E231" s="515"/>
      <c r="F231" s="515"/>
      <c r="G231" s="515" t="e">
        <f t="shared" si="237"/>
        <v>#VALUE!</v>
      </c>
      <c r="H231" s="515" t="e">
        <f>SUMIFS('[16]基本支出总表（开）'!P:P,'[16]基本支出总表（开）'!C:C,MID(A231,4,7))</f>
        <v>#VALUE!</v>
      </c>
      <c r="I231" s="515" t="e">
        <f>SUMIFS('[16]项目支出总表（开）'!Y:Y,'[16]项目支出总表（开）'!C:C,MID(A231,4,7))+SUMIFS('[16]项目支出总表（开）'!Z:Z,'[16]项目支出总表（开）'!C:C,MID(A231,4,7))</f>
        <v>#VALUE!</v>
      </c>
      <c r="J231" s="524" t="str">
        <f t="shared" si="203"/>
        <v/>
      </c>
      <c r="K231" s="524" t="str">
        <f t="shared" si="204"/>
        <v/>
      </c>
      <c r="L231" s="524" t="str">
        <f t="shared" si="205"/>
        <v/>
      </c>
      <c r="O231" s="153"/>
      <c r="S231" s="515" t="e">
        <f t="shared" si="238"/>
        <v>#VALUE!</v>
      </c>
      <c r="T231" s="515" t="e">
        <f>SUMIFS('[16]基本支出总表（开）'!M:M,'[16]基本支出总表（开）'!C:C,MID(TRIM(A231),2,7))</f>
        <v>#VALUE!</v>
      </c>
      <c r="U231" s="515" t="e">
        <f>SUMIFS('[16]项目支出总表（开）'!V:V,'[16]项目支出总表（开）'!C:C,MID(TRIM(A231),2,7))</f>
        <v>#VALUE!</v>
      </c>
    </row>
    <row r="232" s="1" customFormat="1" ht="21.75" customHeight="1" spans="1:21">
      <c r="A232" s="514" t="s">
        <v>281</v>
      </c>
      <c r="B232" s="515">
        <v>145.7</v>
      </c>
      <c r="C232" s="515"/>
      <c r="D232" s="515"/>
      <c r="E232" s="515"/>
      <c r="F232" s="515">
        <v>145.7</v>
      </c>
      <c r="G232" s="515" t="e">
        <f t="shared" si="237"/>
        <v>#VALUE!</v>
      </c>
      <c r="H232" s="515" t="e">
        <f>SUMIFS('[16]基本支出总表（开）'!P:P,'[16]基本支出总表（开）'!C:C,MID(A232,4,7))</f>
        <v>#VALUE!</v>
      </c>
      <c r="I232" s="515" t="e">
        <f>SUMIFS('[16]项目支出总表（开）'!Y:Y,'[16]项目支出总表（开）'!C:C,MID(A232,4,7))+SUMIFS('[16]项目支出总表（开）'!Z:Z,'[16]项目支出总表（开）'!C:C,MID(A232,4,7))</f>
        <v>#VALUE!</v>
      </c>
      <c r="J232" s="524" t="e">
        <f t="shared" si="203"/>
        <v>#VALUE!</v>
      </c>
      <c r="K232" s="524" t="str">
        <f t="shared" si="204"/>
        <v/>
      </c>
      <c r="L232" s="524" t="e">
        <f t="shared" si="205"/>
        <v>#VALUE!</v>
      </c>
      <c r="O232" s="153"/>
      <c r="S232" s="515" t="e">
        <f t="shared" si="238"/>
        <v>#VALUE!</v>
      </c>
      <c r="T232" s="515" t="e">
        <f>SUMIFS('[16]基本支出总表（开）'!M:M,'[16]基本支出总表（开）'!C:C,MID(TRIM(A232),2,7))</f>
        <v>#VALUE!</v>
      </c>
      <c r="U232" s="515" t="e">
        <f>SUMIFS('[16]项目支出总表（开）'!V:V,'[16]项目支出总表（开）'!C:C,MID(TRIM(A232),2,7))</f>
        <v>#VALUE!</v>
      </c>
    </row>
    <row r="233" s="1" customFormat="1" ht="21.75" customHeight="1" spans="1:21">
      <c r="A233" s="516" t="s">
        <v>282</v>
      </c>
      <c r="B233" s="515"/>
      <c r="C233" s="515"/>
      <c r="D233" s="515"/>
      <c r="E233" s="515"/>
      <c r="F233" s="515"/>
      <c r="G233" s="515" t="e">
        <f t="shared" si="237"/>
        <v>#VALUE!</v>
      </c>
      <c r="H233" s="515" t="e">
        <f>SUMIFS('[16]基本支出总表（开）'!P:P,'[16]基本支出总表（开）'!C:C,MID(A233,4,7))</f>
        <v>#VALUE!</v>
      </c>
      <c r="I233" s="515" t="e">
        <f>SUMIFS('[16]项目支出总表（开）'!Y:Y,'[16]项目支出总表（开）'!C:C,MID(A233,4,7))+SUMIFS('[16]项目支出总表（开）'!Z:Z,'[16]项目支出总表（开）'!C:C,MID(A233,4,7))</f>
        <v>#VALUE!</v>
      </c>
      <c r="J233" s="524" t="str">
        <f t="shared" si="203"/>
        <v/>
      </c>
      <c r="K233" s="524" t="str">
        <f t="shared" si="204"/>
        <v/>
      </c>
      <c r="L233" s="524" t="str">
        <f t="shared" si="205"/>
        <v/>
      </c>
      <c r="O233" s="153"/>
      <c r="S233" s="515" t="e">
        <f t="shared" si="238"/>
        <v>#VALUE!</v>
      </c>
      <c r="T233" s="515" t="e">
        <f>SUMIFS('[16]基本支出总表（开）'!M:M,'[16]基本支出总表（开）'!C:C,MID(TRIM(A233),2,7))</f>
        <v>#VALUE!</v>
      </c>
      <c r="U233" s="515" t="e">
        <f>SUMIFS('[16]项目支出总表（开）'!V:V,'[16]项目支出总表（开）'!C:C,MID(TRIM(A233),2,7))</f>
        <v>#VALUE!</v>
      </c>
    </row>
    <row r="234" s="1" customFormat="1" ht="21.75" customHeight="1" spans="1:21">
      <c r="A234" s="514" t="s">
        <v>283</v>
      </c>
      <c r="B234" s="515">
        <v>1236.84</v>
      </c>
      <c r="C234" s="515"/>
      <c r="D234" s="515"/>
      <c r="E234" s="515"/>
      <c r="F234" s="515">
        <v>1236.84</v>
      </c>
      <c r="G234" s="515" t="e">
        <f t="shared" si="237"/>
        <v>#VALUE!</v>
      </c>
      <c r="H234" s="515" t="e">
        <f>SUMIFS('[16]基本支出总表（开）'!P:P,'[16]基本支出总表（开）'!C:C,MID(A234,4,7))</f>
        <v>#VALUE!</v>
      </c>
      <c r="I234" s="515" t="e">
        <f>SUMIFS('[16]项目支出总表（开）'!Y:Y,'[16]项目支出总表（开）'!C:C,MID(A234,4,7))+SUMIFS('[16]项目支出总表（开）'!Z:Z,'[16]项目支出总表（开）'!C:C,MID(A234,4,7))</f>
        <v>#VALUE!</v>
      </c>
      <c r="J234" s="524" t="e">
        <f t="shared" si="203"/>
        <v>#VALUE!</v>
      </c>
      <c r="K234" s="524" t="str">
        <f t="shared" si="204"/>
        <v/>
      </c>
      <c r="L234" s="524" t="e">
        <f t="shared" si="205"/>
        <v>#VALUE!</v>
      </c>
      <c r="O234" s="153"/>
      <c r="S234" s="515" t="e">
        <f t="shared" si="238"/>
        <v>#VALUE!</v>
      </c>
      <c r="T234" s="515" t="e">
        <f>SUMIFS('[16]基本支出总表（开）'!M:M,'[16]基本支出总表（开）'!C:C,MID(TRIM(A234),2,7))</f>
        <v>#VALUE!</v>
      </c>
      <c r="U234" s="515" t="e">
        <f>SUMIFS('[16]项目支出总表（开）'!V:V,'[16]项目支出总表（开）'!C:C,MID(TRIM(A234),2,7))</f>
        <v>#VALUE!</v>
      </c>
    </row>
    <row r="235" s="1" customFormat="1" ht="21.75" customHeight="1" spans="1:21">
      <c r="A235" s="512" t="s">
        <v>284</v>
      </c>
      <c r="B235" s="513">
        <f t="shared" ref="B235:I235" si="239">SUM(B236:B241)</f>
        <v>530.725013</v>
      </c>
      <c r="C235" s="513">
        <f t="shared" si="239"/>
        <v>230.725013</v>
      </c>
      <c r="D235" s="513">
        <f t="shared" si="239"/>
        <v>211.520789</v>
      </c>
      <c r="E235" s="513">
        <f t="shared" si="239"/>
        <v>19.204224</v>
      </c>
      <c r="F235" s="513">
        <f t="shared" si="239"/>
        <v>300</v>
      </c>
      <c r="G235" s="513" t="e">
        <f t="shared" si="239"/>
        <v>#VALUE!</v>
      </c>
      <c r="H235" s="513" t="e">
        <f t="shared" si="239"/>
        <v>#VALUE!</v>
      </c>
      <c r="I235" s="513" t="e">
        <f t="shared" si="239"/>
        <v>#VALUE!</v>
      </c>
      <c r="J235" s="523" t="e">
        <f t="shared" si="203"/>
        <v>#VALUE!</v>
      </c>
      <c r="K235" s="523" t="e">
        <f t="shared" si="204"/>
        <v>#VALUE!</v>
      </c>
      <c r="L235" s="523" t="e">
        <f t="shared" si="205"/>
        <v>#VALUE!</v>
      </c>
      <c r="O235" s="153"/>
      <c r="S235" s="513" t="e">
        <f t="shared" ref="S235:U235" si="240">SUM(S236:S241)</f>
        <v>#VALUE!</v>
      </c>
      <c r="T235" s="513" t="e">
        <f t="shared" si="240"/>
        <v>#VALUE!</v>
      </c>
      <c r="U235" s="513" t="e">
        <f t="shared" si="240"/>
        <v>#VALUE!</v>
      </c>
    </row>
    <row r="236" s="1" customFormat="1" ht="21.75" customHeight="1" spans="1:21">
      <c r="A236" s="514" t="s">
        <v>285</v>
      </c>
      <c r="B236" s="515">
        <v>230.725013</v>
      </c>
      <c r="C236" s="515">
        <v>230.725013</v>
      </c>
      <c r="D236" s="515">
        <v>211.520789</v>
      </c>
      <c r="E236" s="515">
        <v>19.204224</v>
      </c>
      <c r="F236" s="515"/>
      <c r="G236" s="515" t="e">
        <f t="shared" ref="G236:G241" si="241">SUM(H236:I236)</f>
        <v>#VALUE!</v>
      </c>
      <c r="H236" s="515" t="e">
        <f>SUMIFS('[16]基本支出总表（开）'!P:P,'[16]基本支出总表（开）'!C:C,MID(A236,4,7))</f>
        <v>#VALUE!</v>
      </c>
      <c r="I236" s="515" t="e">
        <f>SUMIFS('[16]项目支出总表（开）'!Y:Y,'[16]项目支出总表（开）'!C:C,MID(A236,4,7))+SUMIFS('[16]项目支出总表（开）'!Z:Z,'[16]项目支出总表（开）'!C:C,MID(A236,4,7))</f>
        <v>#VALUE!</v>
      </c>
      <c r="J236" s="524" t="e">
        <f t="shared" si="203"/>
        <v>#VALUE!</v>
      </c>
      <c r="K236" s="524" t="e">
        <f t="shared" si="204"/>
        <v>#VALUE!</v>
      </c>
      <c r="L236" s="524" t="str">
        <f t="shared" si="205"/>
        <v/>
      </c>
      <c r="O236" s="153"/>
      <c r="S236" s="515" t="e">
        <f t="shared" ref="S236:S241" si="242">SUM(T236:U236)</f>
        <v>#VALUE!</v>
      </c>
      <c r="T236" s="515" t="e">
        <f>SUMIFS('[16]基本支出总表（开）'!M:M,'[16]基本支出总表（开）'!C:C,MID(TRIM(A236),2,7))</f>
        <v>#VALUE!</v>
      </c>
      <c r="U236" s="515" t="e">
        <f>SUMIFS('[16]项目支出总表（开）'!V:V,'[16]项目支出总表（开）'!C:C,MID(TRIM(A236),2,7))</f>
        <v>#VALUE!</v>
      </c>
    </row>
    <row r="237" s="1" customFormat="1" ht="21.75" customHeight="1" spans="1:21">
      <c r="A237" s="516" t="s">
        <v>286</v>
      </c>
      <c r="B237" s="515"/>
      <c r="C237" s="515"/>
      <c r="D237" s="515"/>
      <c r="E237" s="515"/>
      <c r="F237" s="515"/>
      <c r="G237" s="515"/>
      <c r="H237" s="515"/>
      <c r="I237" s="515" t="e">
        <f>SUMIFS('[16]项目支出总表（开）'!Y:Y,'[16]项目支出总表（开）'!C:C,MID(A237,4,7))+SUMIFS('[16]项目支出总表（开）'!Z:Z,'[16]项目支出总表（开）'!C:C,MID(A237,4,7))</f>
        <v>#VALUE!</v>
      </c>
      <c r="J237" s="524"/>
      <c r="K237" s="524"/>
      <c r="L237" s="524"/>
      <c r="O237" s="153"/>
      <c r="S237" s="515" t="e">
        <f t="shared" si="242"/>
        <v>#VALUE!</v>
      </c>
      <c r="T237" s="515" t="e">
        <f>SUMIFS('[16]基本支出总表（开）'!M:M,'[16]基本支出总表（开）'!C:C,MID(TRIM(A237),2,7))</f>
        <v>#VALUE!</v>
      </c>
      <c r="U237" s="515" t="e">
        <f>SUMIFS('[16]项目支出总表（开）'!V:V,'[16]项目支出总表（开）'!C:C,MID(TRIM(A237),2,7))</f>
        <v>#VALUE!</v>
      </c>
    </row>
    <row r="238" s="1" customFormat="1" ht="21.75" customHeight="1" spans="1:21">
      <c r="A238" s="516" t="s">
        <v>287</v>
      </c>
      <c r="B238" s="515"/>
      <c r="C238" s="515"/>
      <c r="D238" s="515"/>
      <c r="E238" s="515"/>
      <c r="F238" s="515"/>
      <c r="G238" s="515" t="e">
        <f t="shared" si="241"/>
        <v>#VALUE!</v>
      </c>
      <c r="H238" s="515" t="e">
        <f>SUMIFS('[16]基本支出总表（开）'!P:P,'[16]基本支出总表（开）'!C:C,MID(A238,4,7))</f>
        <v>#VALUE!</v>
      </c>
      <c r="I238" s="515" t="e">
        <f>SUMIFS('[16]项目支出总表（开）'!Y:Y,'[16]项目支出总表（开）'!C:C,MID(A238,4,7))+SUMIFS('[16]项目支出总表（开）'!Z:Z,'[16]项目支出总表（开）'!C:C,MID(A238,4,7))</f>
        <v>#VALUE!</v>
      </c>
      <c r="J238" s="524" t="str">
        <f t="shared" ref="J238:J277" si="243">IF(B238=0,"",G238/B238)</f>
        <v/>
      </c>
      <c r="K238" s="524" t="str">
        <f t="shared" ref="K238:K277" si="244">IF(C238=0,"",H238/C238)</f>
        <v/>
      </c>
      <c r="L238" s="524" t="str">
        <f t="shared" ref="L238:L277" si="245">IF(F238=0,"",I238/F238)</f>
        <v/>
      </c>
      <c r="O238" s="153"/>
      <c r="S238" s="515" t="e">
        <f t="shared" si="242"/>
        <v>#VALUE!</v>
      </c>
      <c r="T238" s="515" t="e">
        <f>SUMIFS('[16]基本支出总表（开）'!M:M,'[16]基本支出总表（开）'!C:C,MID(TRIM(A238),2,7))</f>
        <v>#VALUE!</v>
      </c>
      <c r="U238" s="515" t="e">
        <f>SUMIFS('[16]项目支出总表（开）'!V:V,'[16]项目支出总表（开）'!C:C,MID(TRIM(A238),2,7))</f>
        <v>#VALUE!</v>
      </c>
    </row>
    <row r="239" s="1" customFormat="1" ht="21.75" customHeight="1" spans="1:21">
      <c r="A239" s="516" t="s">
        <v>288</v>
      </c>
      <c r="B239" s="515"/>
      <c r="C239" s="515"/>
      <c r="D239" s="515"/>
      <c r="E239" s="515"/>
      <c r="F239" s="515"/>
      <c r="G239" s="515" t="e">
        <f t="shared" si="241"/>
        <v>#VALUE!</v>
      </c>
      <c r="H239" s="515" t="e">
        <f>SUMIFS('[16]基本支出总表（开）'!P:P,'[16]基本支出总表（开）'!C:C,MID(A239,4,7))</f>
        <v>#VALUE!</v>
      </c>
      <c r="I239" s="515" t="e">
        <f>SUMIFS('[16]项目支出总表（开）'!Y:Y,'[16]项目支出总表（开）'!C:C,MID(A239,4,7))+SUMIFS('[16]项目支出总表（开）'!Z:Z,'[16]项目支出总表（开）'!C:C,MID(A239,4,7))</f>
        <v>#VALUE!</v>
      </c>
      <c r="J239" s="524" t="str">
        <f t="shared" si="243"/>
        <v/>
      </c>
      <c r="K239" s="524" t="str">
        <f t="shared" si="244"/>
        <v/>
      </c>
      <c r="L239" s="524" t="str">
        <f t="shared" si="245"/>
        <v/>
      </c>
      <c r="O239" s="153"/>
      <c r="S239" s="515" t="e">
        <f t="shared" si="242"/>
        <v>#VALUE!</v>
      </c>
      <c r="T239" s="515" t="e">
        <f>SUMIFS('[16]基本支出总表（开）'!M:M,'[16]基本支出总表（开）'!C:C,MID(TRIM(A239),2,7))</f>
        <v>#VALUE!</v>
      </c>
      <c r="U239" s="515" t="e">
        <f>SUMIFS('[16]项目支出总表（开）'!V:V,'[16]项目支出总表（开）'!C:C,MID(TRIM(A239),2,7))</f>
        <v>#VALUE!</v>
      </c>
    </row>
    <row r="240" s="1" customFormat="1" ht="21.75" customHeight="1" spans="1:21">
      <c r="A240" s="516" t="s">
        <v>289</v>
      </c>
      <c r="B240" s="515"/>
      <c r="C240" s="515"/>
      <c r="D240" s="515"/>
      <c r="E240" s="515"/>
      <c r="F240" s="515"/>
      <c r="G240" s="515" t="e">
        <f t="shared" si="241"/>
        <v>#VALUE!</v>
      </c>
      <c r="H240" s="515" t="e">
        <f>SUMIFS('[16]基本支出总表（开）'!P:P,'[16]基本支出总表（开）'!C:C,MID(A240,4,7))</f>
        <v>#VALUE!</v>
      </c>
      <c r="I240" s="515" t="e">
        <f>SUMIFS('[16]项目支出总表（开）'!Y:Y,'[16]项目支出总表（开）'!C:C,MID(A240,4,7))+SUMIFS('[16]项目支出总表（开）'!Z:Z,'[16]项目支出总表（开）'!C:C,MID(A240,4,7))</f>
        <v>#VALUE!</v>
      </c>
      <c r="J240" s="524" t="str">
        <f t="shared" si="243"/>
        <v/>
      </c>
      <c r="K240" s="524" t="str">
        <f t="shared" si="244"/>
        <v/>
      </c>
      <c r="L240" s="524" t="str">
        <f t="shared" si="245"/>
        <v/>
      </c>
      <c r="O240" s="153"/>
      <c r="S240" s="515" t="e">
        <f t="shared" si="242"/>
        <v>#VALUE!</v>
      </c>
      <c r="T240" s="515" t="e">
        <f>SUMIFS('[16]基本支出总表（开）'!M:M,'[16]基本支出总表（开）'!C:C,MID(TRIM(A240),2,7))</f>
        <v>#VALUE!</v>
      </c>
      <c r="U240" s="515" t="e">
        <f>SUMIFS('[16]项目支出总表（开）'!V:V,'[16]项目支出总表（开）'!C:C,MID(TRIM(A240),2,7))</f>
        <v>#VALUE!</v>
      </c>
    </row>
    <row r="241" s="1" customFormat="1" ht="21.75" customHeight="1" spans="1:21">
      <c r="A241" s="514" t="s">
        <v>290</v>
      </c>
      <c r="B241" s="515">
        <v>300</v>
      </c>
      <c r="C241" s="515"/>
      <c r="D241" s="515"/>
      <c r="E241" s="515"/>
      <c r="F241" s="515">
        <v>300</v>
      </c>
      <c r="G241" s="515" t="e">
        <f t="shared" si="241"/>
        <v>#VALUE!</v>
      </c>
      <c r="H241" s="515" t="e">
        <f>SUMIFS('[16]基本支出总表（开）'!P:P,'[16]基本支出总表（开）'!C:C,MID(A241,4,7))</f>
        <v>#VALUE!</v>
      </c>
      <c r="I241" s="515" t="e">
        <f>SUMIFS('[16]项目支出总表（开）'!Y:Y,'[16]项目支出总表（开）'!C:C,MID(A241,4,7))+SUMIFS('[16]项目支出总表（开）'!Z:Z,'[16]项目支出总表（开）'!C:C,MID(A241,4,7))</f>
        <v>#VALUE!</v>
      </c>
      <c r="J241" s="524" t="e">
        <f t="shared" si="243"/>
        <v>#VALUE!</v>
      </c>
      <c r="K241" s="524" t="str">
        <f t="shared" si="244"/>
        <v/>
      </c>
      <c r="L241" s="524" t="e">
        <f t="shared" si="245"/>
        <v>#VALUE!</v>
      </c>
      <c r="O241" s="153"/>
      <c r="S241" s="515" t="e">
        <f t="shared" si="242"/>
        <v>#VALUE!</v>
      </c>
      <c r="T241" s="515" t="e">
        <f>SUMIFS('[16]基本支出总表（开）'!M:M,'[16]基本支出总表（开）'!C:C,MID(TRIM(A241),2,7))</f>
        <v>#VALUE!</v>
      </c>
      <c r="U241" s="515" t="e">
        <f>SUMIFS('[16]项目支出总表（开）'!V:V,'[16]项目支出总表（开）'!C:C,MID(TRIM(A241),2,7))</f>
        <v>#VALUE!</v>
      </c>
    </row>
    <row r="242" s="1" customFormat="1" ht="21.75" customHeight="1" spans="1:21">
      <c r="A242" s="512" t="s">
        <v>291</v>
      </c>
      <c r="B242" s="513">
        <f t="shared" ref="B242:I242" si="246">SUM(B243:B247)</f>
        <v>457.986313</v>
      </c>
      <c r="C242" s="513">
        <f t="shared" si="246"/>
        <v>77.986313</v>
      </c>
      <c r="D242" s="513">
        <f t="shared" si="246"/>
        <v>71.804596</v>
      </c>
      <c r="E242" s="513">
        <f t="shared" si="246"/>
        <v>6.181717</v>
      </c>
      <c r="F242" s="513">
        <f t="shared" si="246"/>
        <v>380</v>
      </c>
      <c r="G242" s="513" t="e">
        <f t="shared" si="246"/>
        <v>#VALUE!</v>
      </c>
      <c r="H242" s="513" t="e">
        <f t="shared" si="246"/>
        <v>#VALUE!</v>
      </c>
      <c r="I242" s="513" t="e">
        <f t="shared" si="246"/>
        <v>#VALUE!</v>
      </c>
      <c r="J242" s="523" t="e">
        <f t="shared" si="243"/>
        <v>#VALUE!</v>
      </c>
      <c r="K242" s="523" t="e">
        <f t="shared" si="244"/>
        <v>#VALUE!</v>
      </c>
      <c r="L242" s="523" t="e">
        <f t="shared" si="245"/>
        <v>#VALUE!</v>
      </c>
      <c r="O242" s="153"/>
      <c r="S242" s="513" t="e">
        <f t="shared" ref="S242:U242" si="247">SUM(S243:S247)</f>
        <v>#VALUE!</v>
      </c>
      <c r="T242" s="513" t="e">
        <f t="shared" si="247"/>
        <v>#VALUE!</v>
      </c>
      <c r="U242" s="513" t="e">
        <f t="shared" si="247"/>
        <v>#VALUE!</v>
      </c>
    </row>
    <row r="243" s="1" customFormat="1" ht="21.75" customHeight="1" spans="1:21">
      <c r="A243" s="514" t="s">
        <v>292</v>
      </c>
      <c r="B243" s="515">
        <v>77.986313</v>
      </c>
      <c r="C243" s="515">
        <v>77.986313</v>
      </c>
      <c r="D243" s="515">
        <v>71.804596</v>
      </c>
      <c r="E243" s="515">
        <v>6.181717</v>
      </c>
      <c r="F243" s="515"/>
      <c r="G243" s="515" t="e">
        <f t="shared" ref="G243:G247" si="248">SUM(H243:I243)</f>
        <v>#VALUE!</v>
      </c>
      <c r="H243" s="515" t="e">
        <f>SUMIFS('[16]基本支出总表（开）'!P:P,'[16]基本支出总表（开）'!C:C,MID(A243,4,7))</f>
        <v>#VALUE!</v>
      </c>
      <c r="I243" s="515" t="e">
        <f>SUMIFS('[16]项目支出总表（开）'!Y:Y,'[16]项目支出总表（开）'!C:C,MID(A243,4,7))+SUMIFS('[16]项目支出总表（开）'!Z:Z,'[16]项目支出总表（开）'!C:C,MID(A243,4,7))</f>
        <v>#VALUE!</v>
      </c>
      <c r="J243" s="524" t="e">
        <f t="shared" si="243"/>
        <v>#VALUE!</v>
      </c>
      <c r="K243" s="524" t="e">
        <f t="shared" si="244"/>
        <v>#VALUE!</v>
      </c>
      <c r="L243" s="524" t="str">
        <f t="shared" si="245"/>
        <v/>
      </c>
      <c r="O243" s="153"/>
      <c r="S243" s="515" t="e">
        <f t="shared" ref="S243:S247" si="249">SUM(T243:U243)</f>
        <v>#VALUE!</v>
      </c>
      <c r="T243" s="515" t="e">
        <f>SUMIFS('[16]基本支出总表（开）'!M:M,'[16]基本支出总表（开）'!C:C,MID(TRIM(A243),2,7))</f>
        <v>#VALUE!</v>
      </c>
      <c r="U243" s="515" t="e">
        <f>SUMIFS('[16]项目支出总表（开）'!V:V,'[16]项目支出总表（开）'!C:C,MID(TRIM(A243),2,7))</f>
        <v>#VALUE!</v>
      </c>
    </row>
    <row r="244" s="1" customFormat="1" ht="21.75" customHeight="1" spans="1:21">
      <c r="A244" s="516" t="s">
        <v>293</v>
      </c>
      <c r="B244" s="515"/>
      <c r="C244" s="515"/>
      <c r="D244" s="515"/>
      <c r="E244" s="515"/>
      <c r="F244" s="515"/>
      <c r="G244" s="515" t="e">
        <f t="shared" si="248"/>
        <v>#VALUE!</v>
      </c>
      <c r="H244" s="515" t="e">
        <f>SUMIFS('[16]基本支出总表（开）'!P:P,'[16]基本支出总表（开）'!C:C,MID(A244,4,7))</f>
        <v>#VALUE!</v>
      </c>
      <c r="I244" s="515" t="e">
        <f>SUMIFS('[16]项目支出总表（开）'!Y:Y,'[16]项目支出总表（开）'!C:C,MID(A244,4,7))+SUMIFS('[16]项目支出总表（开）'!Z:Z,'[16]项目支出总表（开）'!C:C,MID(A244,4,7))</f>
        <v>#VALUE!</v>
      </c>
      <c r="J244" s="524" t="str">
        <f t="shared" si="243"/>
        <v/>
      </c>
      <c r="K244" s="524" t="str">
        <f t="shared" si="244"/>
        <v/>
      </c>
      <c r="L244" s="524" t="str">
        <f t="shared" si="245"/>
        <v/>
      </c>
      <c r="O244" s="153"/>
      <c r="S244" s="515" t="e">
        <f t="shared" si="249"/>
        <v>#VALUE!</v>
      </c>
      <c r="T244" s="515" t="e">
        <f>SUMIFS('[16]基本支出总表（开）'!M:M,'[16]基本支出总表（开）'!C:C,MID(TRIM(A244),2,7))</f>
        <v>#VALUE!</v>
      </c>
      <c r="U244" s="515" t="e">
        <f>SUMIFS('[16]项目支出总表（开）'!V:V,'[16]项目支出总表（开）'!C:C,MID(TRIM(A244),2,7))</f>
        <v>#VALUE!</v>
      </c>
    </row>
    <row r="245" s="1" customFormat="1" ht="21.75" customHeight="1" spans="1:21">
      <c r="A245" s="514" t="s">
        <v>294</v>
      </c>
      <c r="B245" s="515">
        <v>24</v>
      </c>
      <c r="C245" s="515"/>
      <c r="D245" s="515"/>
      <c r="E245" s="515"/>
      <c r="F245" s="515">
        <v>24</v>
      </c>
      <c r="G245" s="515" t="e">
        <f t="shared" si="248"/>
        <v>#VALUE!</v>
      </c>
      <c r="H245" s="515" t="e">
        <f>SUMIFS('[16]基本支出总表（开）'!P:P,'[16]基本支出总表（开）'!C:C,MID(A245,4,7))</f>
        <v>#VALUE!</v>
      </c>
      <c r="I245" s="515" t="e">
        <f>SUMIFS('[16]项目支出总表（开）'!Y:Y,'[16]项目支出总表（开）'!C:C,MID(A245,4,7))+SUMIFS('[16]项目支出总表（开）'!Z:Z,'[16]项目支出总表（开）'!C:C,MID(A245,4,7))</f>
        <v>#VALUE!</v>
      </c>
      <c r="J245" s="524" t="e">
        <f t="shared" si="243"/>
        <v>#VALUE!</v>
      </c>
      <c r="K245" s="524" t="str">
        <f t="shared" si="244"/>
        <v/>
      </c>
      <c r="L245" s="524" t="e">
        <f t="shared" si="245"/>
        <v>#VALUE!</v>
      </c>
      <c r="O245" s="153"/>
      <c r="S245" s="515" t="e">
        <f t="shared" si="249"/>
        <v>#VALUE!</v>
      </c>
      <c r="T245" s="515" t="e">
        <f>SUMIFS('[16]基本支出总表（开）'!M:M,'[16]基本支出总表（开）'!C:C,MID(TRIM(A245),2,7))</f>
        <v>#VALUE!</v>
      </c>
      <c r="U245" s="515" t="e">
        <f>SUMIFS('[16]项目支出总表（开）'!V:V,'[16]项目支出总表（开）'!C:C,MID(TRIM(A245),2,7))</f>
        <v>#VALUE!</v>
      </c>
    </row>
    <row r="246" s="1" customFormat="1" ht="21.75" customHeight="1" spans="1:21">
      <c r="A246" s="516" t="s">
        <v>295</v>
      </c>
      <c r="B246" s="515"/>
      <c r="C246" s="515"/>
      <c r="D246" s="515"/>
      <c r="E246" s="515"/>
      <c r="F246" s="515"/>
      <c r="G246" s="515" t="e">
        <f t="shared" si="248"/>
        <v>#VALUE!</v>
      </c>
      <c r="H246" s="515" t="e">
        <f>SUMIFS('[16]基本支出总表（开）'!P:P,'[16]基本支出总表（开）'!C:C,MID(A246,4,7))</f>
        <v>#VALUE!</v>
      </c>
      <c r="I246" s="515" t="e">
        <f>SUMIFS('[16]项目支出总表（开）'!Y:Y,'[16]项目支出总表（开）'!C:C,MID(A246,4,7))+SUMIFS('[16]项目支出总表（开）'!Z:Z,'[16]项目支出总表（开）'!C:C,MID(A246,4,7))</f>
        <v>#VALUE!</v>
      </c>
      <c r="J246" s="524" t="str">
        <f t="shared" si="243"/>
        <v/>
      </c>
      <c r="K246" s="524" t="str">
        <f t="shared" si="244"/>
        <v/>
      </c>
      <c r="L246" s="524" t="str">
        <f t="shared" si="245"/>
        <v/>
      </c>
      <c r="O246" s="153"/>
      <c r="S246" s="515" t="e">
        <f t="shared" si="249"/>
        <v>#VALUE!</v>
      </c>
      <c r="T246" s="515" t="e">
        <f>SUMIFS('[16]基本支出总表（开）'!M:M,'[16]基本支出总表（开）'!C:C,MID(TRIM(A246),2,7))</f>
        <v>#VALUE!</v>
      </c>
      <c r="U246" s="515" t="e">
        <f>SUMIFS('[16]项目支出总表（开）'!V:V,'[16]项目支出总表（开）'!C:C,MID(TRIM(A246),2,7))</f>
        <v>#VALUE!</v>
      </c>
    </row>
    <row r="247" s="1" customFormat="1" ht="21.75" customHeight="1" spans="1:21">
      <c r="A247" s="514" t="s">
        <v>296</v>
      </c>
      <c r="B247" s="515">
        <v>356</v>
      </c>
      <c r="C247" s="515"/>
      <c r="D247" s="515"/>
      <c r="E247" s="515"/>
      <c r="F247" s="515">
        <v>356</v>
      </c>
      <c r="G247" s="515" t="e">
        <f t="shared" si="248"/>
        <v>#VALUE!</v>
      </c>
      <c r="H247" s="515" t="e">
        <f>SUMIFS('[16]基本支出总表（开）'!P:P,'[16]基本支出总表（开）'!C:C,MID(A247,4,7))</f>
        <v>#VALUE!</v>
      </c>
      <c r="I247" s="515" t="e">
        <f>SUMIFS('[16]项目支出总表（开）'!Y:Y,'[16]项目支出总表（开）'!C:C,MID(A247,4,7))+SUMIFS('[16]项目支出总表（开）'!Z:Z,'[16]项目支出总表（开）'!C:C,MID(A247,4,7))</f>
        <v>#VALUE!</v>
      </c>
      <c r="J247" s="524" t="e">
        <f t="shared" si="243"/>
        <v>#VALUE!</v>
      </c>
      <c r="K247" s="524" t="str">
        <f t="shared" si="244"/>
        <v/>
      </c>
      <c r="L247" s="524" t="e">
        <f t="shared" si="245"/>
        <v>#VALUE!</v>
      </c>
      <c r="O247" s="153"/>
      <c r="S247" s="515" t="e">
        <f t="shared" si="249"/>
        <v>#VALUE!</v>
      </c>
      <c r="T247" s="515" t="e">
        <f>SUMIFS('[16]基本支出总表（开）'!M:M,'[16]基本支出总表（开）'!C:C,MID(TRIM(A247),2,7))</f>
        <v>#VALUE!</v>
      </c>
      <c r="U247" s="515" t="e">
        <f>SUMIFS('[16]项目支出总表（开）'!V:V,'[16]项目支出总表（开）'!C:C,MID(TRIM(A247),2,7))</f>
        <v>#VALUE!</v>
      </c>
    </row>
    <row r="248" s="1" customFormat="1" ht="21.75" customHeight="1" spans="1:21">
      <c r="A248" s="512" t="s">
        <v>297</v>
      </c>
      <c r="B248" s="513">
        <f t="shared" ref="B248:I248" si="250">SUM(B249:B251)</f>
        <v>3973</v>
      </c>
      <c r="C248" s="513">
        <f t="shared" si="250"/>
        <v>0</v>
      </c>
      <c r="D248" s="513">
        <f t="shared" si="250"/>
        <v>0</v>
      </c>
      <c r="E248" s="513">
        <f t="shared" si="250"/>
        <v>0</v>
      </c>
      <c r="F248" s="513">
        <f t="shared" si="250"/>
        <v>3973</v>
      </c>
      <c r="G248" s="513" t="e">
        <f t="shared" si="250"/>
        <v>#VALUE!</v>
      </c>
      <c r="H248" s="513" t="e">
        <f t="shared" si="250"/>
        <v>#VALUE!</v>
      </c>
      <c r="I248" s="513" t="e">
        <f t="shared" si="250"/>
        <v>#VALUE!</v>
      </c>
      <c r="J248" s="523" t="e">
        <f t="shared" si="243"/>
        <v>#VALUE!</v>
      </c>
      <c r="K248" s="523" t="str">
        <f t="shared" si="244"/>
        <v/>
      </c>
      <c r="L248" s="523" t="e">
        <f t="shared" si="245"/>
        <v>#VALUE!</v>
      </c>
      <c r="O248" s="153"/>
      <c r="S248" s="513" t="e">
        <f t="shared" ref="S248:U248" si="251">SUM(S249:S251)</f>
        <v>#VALUE!</v>
      </c>
      <c r="T248" s="513" t="e">
        <f t="shared" si="251"/>
        <v>#VALUE!</v>
      </c>
      <c r="U248" s="513" t="e">
        <f t="shared" si="251"/>
        <v>#VALUE!</v>
      </c>
    </row>
    <row r="249" s="1" customFormat="1" ht="21.75" customHeight="1" spans="1:21">
      <c r="A249" s="514" t="s">
        <v>298</v>
      </c>
      <c r="B249" s="515">
        <v>3623</v>
      </c>
      <c r="C249" s="515"/>
      <c r="D249" s="515"/>
      <c r="E249" s="515"/>
      <c r="F249" s="515">
        <v>3623</v>
      </c>
      <c r="G249" s="515" t="e">
        <f t="shared" ref="G249:G251" si="252">SUM(H249:I249)</f>
        <v>#VALUE!</v>
      </c>
      <c r="H249" s="515" t="e">
        <f>SUMIFS('[16]基本支出总表（开）'!P:P,'[16]基本支出总表（开）'!C:C,MID(A249,4,7))</f>
        <v>#VALUE!</v>
      </c>
      <c r="I249" s="515" t="e">
        <f>SUMIFS('[16]项目支出总表（开）'!Y:Y,'[16]项目支出总表（开）'!C:C,MID(A249,4,7))+SUMIFS('[16]项目支出总表（开）'!Z:Z,'[16]项目支出总表（开）'!C:C,MID(A249,4,7))</f>
        <v>#VALUE!</v>
      </c>
      <c r="J249" s="524" t="e">
        <f t="shared" si="243"/>
        <v>#VALUE!</v>
      </c>
      <c r="K249" s="524" t="str">
        <f t="shared" si="244"/>
        <v/>
      </c>
      <c r="L249" s="524" t="e">
        <f t="shared" si="245"/>
        <v>#VALUE!</v>
      </c>
      <c r="O249" s="153"/>
      <c r="S249" s="515" t="e">
        <f t="shared" ref="S249:S251" si="253">SUM(T249:U249)</f>
        <v>#VALUE!</v>
      </c>
      <c r="T249" s="515" t="e">
        <f>SUMIFS('[16]基本支出总表（开）'!M:M,'[16]基本支出总表（开）'!C:C,MID(TRIM(A249),2,7))</f>
        <v>#VALUE!</v>
      </c>
      <c r="U249" s="515" t="e">
        <f>SUMIFS('[16]项目支出总表（开）'!V:V,'[16]项目支出总表（开）'!C:C,MID(TRIM(A249),2,7))</f>
        <v>#VALUE!</v>
      </c>
    </row>
    <row r="250" s="1" customFormat="1" ht="21.75" customHeight="1" spans="1:21">
      <c r="A250" s="516" t="s">
        <v>299</v>
      </c>
      <c r="B250" s="515"/>
      <c r="C250" s="515"/>
      <c r="D250" s="515"/>
      <c r="E250" s="515"/>
      <c r="F250" s="515"/>
      <c r="G250" s="515" t="e">
        <f t="shared" si="252"/>
        <v>#VALUE!</v>
      </c>
      <c r="H250" s="515" t="e">
        <f>SUMIFS('[16]基本支出总表（开）'!P:P,'[16]基本支出总表（开）'!C:C,MID(A250,4,7))</f>
        <v>#VALUE!</v>
      </c>
      <c r="I250" s="515" t="e">
        <f>SUMIFS('[16]项目支出总表（开）'!Y:Y,'[16]项目支出总表（开）'!C:C,MID(A250,4,7))+SUMIFS('[16]项目支出总表（开）'!Z:Z,'[16]项目支出总表（开）'!C:C,MID(A250,4,7))</f>
        <v>#VALUE!</v>
      </c>
      <c r="J250" s="524" t="str">
        <f t="shared" si="243"/>
        <v/>
      </c>
      <c r="K250" s="524" t="str">
        <f t="shared" si="244"/>
        <v/>
      </c>
      <c r="L250" s="524" t="str">
        <f t="shared" si="245"/>
        <v/>
      </c>
      <c r="O250" s="153"/>
      <c r="S250" s="515" t="e">
        <f t="shared" si="253"/>
        <v>#VALUE!</v>
      </c>
      <c r="T250" s="515" t="e">
        <f>SUMIFS('[16]基本支出总表（开）'!M:M,'[16]基本支出总表（开）'!C:C,MID(TRIM(A250),2,7))</f>
        <v>#VALUE!</v>
      </c>
      <c r="U250" s="515" t="e">
        <f>SUMIFS('[16]项目支出总表（开）'!V:V,'[16]项目支出总表（开）'!C:C,MID(TRIM(A250),2,7))</f>
        <v>#VALUE!</v>
      </c>
    </row>
    <row r="251" s="1" customFormat="1" ht="21.75" customHeight="1" spans="1:21">
      <c r="A251" s="514" t="s">
        <v>301</v>
      </c>
      <c r="B251" s="515">
        <v>350</v>
      </c>
      <c r="C251" s="515"/>
      <c r="D251" s="515"/>
      <c r="E251" s="515"/>
      <c r="F251" s="515">
        <v>350</v>
      </c>
      <c r="G251" s="515" t="e">
        <f t="shared" si="252"/>
        <v>#VALUE!</v>
      </c>
      <c r="H251" s="515" t="e">
        <f>SUMIFS('[16]基本支出总表（开）'!P:P,'[16]基本支出总表（开）'!C:C,MID(A251,4,7))</f>
        <v>#VALUE!</v>
      </c>
      <c r="I251" s="515" t="e">
        <f>SUMIFS('[16]项目支出总表（开）'!Y:Y,'[16]项目支出总表（开）'!C:C,MID(A251,4,7))+SUMIFS('[16]项目支出总表（开）'!Z:Z,'[16]项目支出总表（开）'!C:C,MID(A251,4,7))</f>
        <v>#VALUE!</v>
      </c>
      <c r="J251" s="524" t="e">
        <f t="shared" si="243"/>
        <v>#VALUE!</v>
      </c>
      <c r="K251" s="524" t="str">
        <f t="shared" si="244"/>
        <v/>
      </c>
      <c r="L251" s="524" t="e">
        <f t="shared" si="245"/>
        <v>#VALUE!</v>
      </c>
      <c r="O251" s="153"/>
      <c r="S251" s="515" t="e">
        <f t="shared" si="253"/>
        <v>#VALUE!</v>
      </c>
      <c r="T251" s="515" t="e">
        <f>SUMIFS('[16]基本支出总表（开）'!M:M,'[16]基本支出总表（开）'!C:C,MID(TRIM(A251),2,7))</f>
        <v>#VALUE!</v>
      </c>
      <c r="U251" s="515" t="e">
        <f>SUMIFS('[16]项目支出总表（开）'!V:V,'[16]项目支出总表（开）'!C:C,MID(TRIM(A251),2,7))</f>
        <v>#VALUE!</v>
      </c>
    </row>
    <row r="252" s="1" customFormat="1" ht="21.75" customHeight="1" spans="1:21">
      <c r="A252" s="512" t="s">
        <v>302</v>
      </c>
      <c r="B252" s="513">
        <f t="shared" ref="B252:I252" si="254">SUM(B253:B255)</f>
        <v>2953.48</v>
      </c>
      <c r="C252" s="513">
        <f t="shared" si="254"/>
        <v>0</v>
      </c>
      <c r="D252" s="513">
        <f t="shared" si="254"/>
        <v>0</v>
      </c>
      <c r="E252" s="513">
        <f t="shared" si="254"/>
        <v>0</v>
      </c>
      <c r="F252" s="513">
        <f t="shared" si="254"/>
        <v>2953.48</v>
      </c>
      <c r="G252" s="513" t="e">
        <f t="shared" si="254"/>
        <v>#VALUE!</v>
      </c>
      <c r="H252" s="513" t="e">
        <f t="shared" si="254"/>
        <v>#VALUE!</v>
      </c>
      <c r="I252" s="513" t="e">
        <f t="shared" si="254"/>
        <v>#VALUE!</v>
      </c>
      <c r="J252" s="523" t="e">
        <f t="shared" si="243"/>
        <v>#VALUE!</v>
      </c>
      <c r="K252" s="523" t="str">
        <f t="shared" si="244"/>
        <v/>
      </c>
      <c r="L252" s="523" t="e">
        <f t="shared" si="245"/>
        <v>#VALUE!</v>
      </c>
      <c r="O252" s="153"/>
      <c r="S252" s="513" t="e">
        <f t="shared" ref="S252:U252" si="255">SUM(S253:S255)</f>
        <v>#VALUE!</v>
      </c>
      <c r="T252" s="513" t="e">
        <f t="shared" si="255"/>
        <v>#VALUE!</v>
      </c>
      <c r="U252" s="513" t="e">
        <f t="shared" si="255"/>
        <v>#VALUE!</v>
      </c>
    </row>
    <row r="253" s="1" customFormat="1" ht="21.75" customHeight="1" spans="1:21">
      <c r="A253" s="516" t="s">
        <v>303</v>
      </c>
      <c r="B253" s="515"/>
      <c r="C253" s="515"/>
      <c r="D253" s="515"/>
      <c r="E253" s="515"/>
      <c r="F253" s="515"/>
      <c r="G253" s="515" t="e">
        <f t="shared" ref="G253:G255" si="256">SUM(H253:I253)</f>
        <v>#VALUE!</v>
      </c>
      <c r="H253" s="515" t="e">
        <f>SUMIFS('[16]基本支出总表（开）'!P:P,'[16]基本支出总表（开）'!C:C,MID(A253,4,7))</f>
        <v>#VALUE!</v>
      </c>
      <c r="I253" s="515" t="e">
        <f>SUMIFS('[16]项目支出总表（开）'!Y:Y,'[16]项目支出总表（开）'!C:C,MID(A253,4,7))+SUMIFS('[16]项目支出总表（开）'!Z:Z,'[16]项目支出总表（开）'!C:C,MID(A253,4,7))</f>
        <v>#VALUE!</v>
      </c>
      <c r="J253" s="524" t="str">
        <f t="shared" si="243"/>
        <v/>
      </c>
      <c r="K253" s="524" t="str">
        <f t="shared" si="244"/>
        <v/>
      </c>
      <c r="L253" s="524" t="str">
        <f t="shared" si="245"/>
        <v/>
      </c>
      <c r="O253" s="153"/>
      <c r="S253" s="515" t="e">
        <f t="shared" ref="S253:S255" si="257">SUM(T253:U253)</f>
        <v>#VALUE!</v>
      </c>
      <c r="T253" s="515" t="e">
        <f>SUMIFS('[16]基本支出总表（开）'!M:M,'[16]基本支出总表（开）'!C:C,MID(TRIM(A253),2,7))</f>
        <v>#VALUE!</v>
      </c>
      <c r="U253" s="515" t="e">
        <f>SUMIFS('[16]项目支出总表（开）'!V:V,'[16]项目支出总表（开）'!C:C,MID(TRIM(A253),2,7))</f>
        <v>#VALUE!</v>
      </c>
    </row>
    <row r="254" s="1" customFormat="1" ht="21.75" customHeight="1" spans="1:21">
      <c r="A254" s="514" t="s">
        <v>304</v>
      </c>
      <c r="B254" s="515">
        <v>2950.78</v>
      </c>
      <c r="C254" s="515"/>
      <c r="D254" s="515"/>
      <c r="E254" s="515"/>
      <c r="F254" s="515">
        <v>2950.78</v>
      </c>
      <c r="G254" s="515" t="e">
        <f t="shared" si="256"/>
        <v>#VALUE!</v>
      </c>
      <c r="H254" s="515" t="e">
        <f>SUMIFS('[16]基本支出总表（开）'!P:P,'[16]基本支出总表（开）'!C:C,MID(A254,4,7))</f>
        <v>#VALUE!</v>
      </c>
      <c r="I254" s="515" t="e">
        <f>SUMIFS('[16]项目支出总表（开）'!Y:Y,'[16]项目支出总表（开）'!C:C,MID(A254,4,7))+SUMIFS('[16]项目支出总表（开）'!Z:Z,'[16]项目支出总表（开）'!C:C,MID(A254,4,7))</f>
        <v>#VALUE!</v>
      </c>
      <c r="J254" s="524" t="e">
        <f t="shared" si="243"/>
        <v>#VALUE!</v>
      </c>
      <c r="K254" s="524" t="str">
        <f t="shared" si="244"/>
        <v/>
      </c>
      <c r="L254" s="524" t="e">
        <f t="shared" si="245"/>
        <v>#VALUE!</v>
      </c>
      <c r="O254" s="153"/>
      <c r="S254" s="515" t="e">
        <f t="shared" si="257"/>
        <v>#VALUE!</v>
      </c>
      <c r="T254" s="515" t="e">
        <f>SUMIFS('[16]基本支出总表（开）'!M:M,'[16]基本支出总表（开）'!C:C,MID(TRIM(A254),2,7))</f>
        <v>#VALUE!</v>
      </c>
      <c r="U254" s="515" t="e">
        <f>SUMIFS('[16]项目支出总表（开）'!V:V,'[16]项目支出总表（开）'!C:C,MID(TRIM(A254),2,7))</f>
        <v>#VALUE!</v>
      </c>
    </row>
    <row r="255" s="1" customFormat="1" ht="21.75" customHeight="1" spans="1:21">
      <c r="A255" s="514" t="s">
        <v>305</v>
      </c>
      <c r="B255" s="515">
        <v>2.7</v>
      </c>
      <c r="C255" s="515"/>
      <c r="D255" s="515"/>
      <c r="E255" s="515"/>
      <c r="F255" s="515">
        <v>2.7</v>
      </c>
      <c r="G255" s="515" t="e">
        <f t="shared" si="256"/>
        <v>#VALUE!</v>
      </c>
      <c r="H255" s="515" t="e">
        <f>SUMIFS('[16]基本支出总表（开）'!P:P,'[16]基本支出总表（开）'!C:C,MID(A255,4,7))</f>
        <v>#VALUE!</v>
      </c>
      <c r="I255" s="515" t="e">
        <f>SUMIFS('[16]项目支出总表（开）'!Y:Y,'[16]项目支出总表（开）'!C:C,MID(A255,4,7))+SUMIFS('[16]项目支出总表（开）'!Z:Z,'[16]项目支出总表（开）'!C:C,MID(A255,4,7))</f>
        <v>#VALUE!</v>
      </c>
      <c r="J255" s="524" t="e">
        <f t="shared" si="243"/>
        <v>#VALUE!</v>
      </c>
      <c r="K255" s="524" t="str">
        <f t="shared" si="244"/>
        <v/>
      </c>
      <c r="L255" s="524" t="e">
        <f t="shared" si="245"/>
        <v>#VALUE!</v>
      </c>
      <c r="O255" s="153"/>
      <c r="S255" s="515" t="e">
        <f t="shared" si="257"/>
        <v>#VALUE!</v>
      </c>
      <c r="T255" s="515" t="e">
        <f>SUMIFS('[16]基本支出总表（开）'!M:M,'[16]基本支出总表（开）'!C:C,MID(TRIM(A255),2,7))</f>
        <v>#VALUE!</v>
      </c>
      <c r="U255" s="515" t="e">
        <f>SUMIFS('[16]项目支出总表（开）'!V:V,'[16]项目支出总表（开）'!C:C,MID(TRIM(A255),2,7))</f>
        <v>#VALUE!</v>
      </c>
    </row>
    <row r="256" s="1" customFormat="1" ht="21.75" customHeight="1" spans="1:21">
      <c r="A256" s="512" t="s">
        <v>306</v>
      </c>
      <c r="B256" s="513">
        <f t="shared" ref="B256:I256" si="258">SUM(B257)</f>
        <v>2</v>
      </c>
      <c r="C256" s="513">
        <f t="shared" si="258"/>
        <v>0</v>
      </c>
      <c r="D256" s="513">
        <f t="shared" si="258"/>
        <v>0</v>
      </c>
      <c r="E256" s="513">
        <f t="shared" si="258"/>
        <v>0</v>
      </c>
      <c r="F256" s="513">
        <f t="shared" si="258"/>
        <v>2</v>
      </c>
      <c r="G256" s="513" t="e">
        <f t="shared" si="258"/>
        <v>#VALUE!</v>
      </c>
      <c r="H256" s="513" t="e">
        <f t="shared" si="258"/>
        <v>#VALUE!</v>
      </c>
      <c r="I256" s="513" t="e">
        <f t="shared" si="258"/>
        <v>#VALUE!</v>
      </c>
      <c r="J256" s="523" t="e">
        <f t="shared" si="243"/>
        <v>#VALUE!</v>
      </c>
      <c r="K256" s="523" t="str">
        <f t="shared" si="244"/>
        <v/>
      </c>
      <c r="L256" s="523" t="e">
        <f t="shared" si="245"/>
        <v>#VALUE!</v>
      </c>
      <c r="O256" s="153"/>
      <c r="S256" s="513" t="e">
        <f t="shared" ref="S256:U256" si="259">SUM(S257)</f>
        <v>#VALUE!</v>
      </c>
      <c r="T256" s="513" t="e">
        <f t="shared" si="259"/>
        <v>#VALUE!</v>
      </c>
      <c r="U256" s="513" t="e">
        <f t="shared" si="259"/>
        <v>#VALUE!</v>
      </c>
    </row>
    <row r="257" s="1" customFormat="1" ht="21.75" customHeight="1" spans="1:21">
      <c r="A257" s="514" t="s">
        <v>307</v>
      </c>
      <c r="B257" s="515">
        <v>2</v>
      </c>
      <c r="C257" s="515"/>
      <c r="D257" s="515"/>
      <c r="E257" s="515"/>
      <c r="F257" s="515">
        <v>2</v>
      </c>
      <c r="G257" s="515" t="e">
        <f t="shared" ref="G257:G262" si="260">SUM(H257:I257)</f>
        <v>#VALUE!</v>
      </c>
      <c r="H257" s="515" t="e">
        <f>SUMIFS('[16]基本支出总表（开）'!P:P,'[16]基本支出总表（开）'!C:C,MID(A257,4,7))</f>
        <v>#VALUE!</v>
      </c>
      <c r="I257" s="515" t="e">
        <f>SUMIFS('[16]项目支出总表（开）'!Y:Y,'[16]项目支出总表（开）'!C:C,MID(A257,4,7))+SUMIFS('[16]项目支出总表（开）'!Z:Z,'[16]项目支出总表（开）'!C:C,MID(A257,4,7))</f>
        <v>#VALUE!</v>
      </c>
      <c r="J257" s="524" t="e">
        <f t="shared" si="243"/>
        <v>#VALUE!</v>
      </c>
      <c r="K257" s="524" t="str">
        <f t="shared" si="244"/>
        <v/>
      </c>
      <c r="L257" s="524" t="e">
        <f t="shared" si="245"/>
        <v>#VALUE!</v>
      </c>
      <c r="O257" s="153"/>
      <c r="S257" s="515" t="e">
        <f t="shared" ref="S257:S262" si="261">SUM(T257:U257)</f>
        <v>#VALUE!</v>
      </c>
      <c r="T257" s="515" t="e">
        <f>SUMIFS('[16]基本支出总表（开）'!M:M,'[16]基本支出总表（开）'!C:C,MID(TRIM(A257),2,7))</f>
        <v>#VALUE!</v>
      </c>
      <c r="U257" s="515" t="e">
        <f>SUMIFS('[16]项目支出总表（开）'!V:V,'[16]项目支出总表（开）'!C:C,MID(TRIM(A257),2,7))</f>
        <v>#VALUE!</v>
      </c>
    </row>
    <row r="258" s="1" customFormat="1" ht="21.75" customHeight="1" spans="1:21">
      <c r="A258" s="517" t="s">
        <v>308</v>
      </c>
      <c r="B258" s="513">
        <f t="shared" ref="B258:I258" si="262">SUM(B259)</f>
        <v>0</v>
      </c>
      <c r="C258" s="513">
        <f t="shared" si="262"/>
        <v>0</v>
      </c>
      <c r="D258" s="513">
        <f t="shared" si="262"/>
        <v>0</v>
      </c>
      <c r="E258" s="513">
        <f t="shared" si="262"/>
        <v>0</v>
      </c>
      <c r="F258" s="513">
        <f t="shared" si="262"/>
        <v>0</v>
      </c>
      <c r="G258" s="513" t="e">
        <f t="shared" si="262"/>
        <v>#VALUE!</v>
      </c>
      <c r="H258" s="513" t="e">
        <f t="shared" si="262"/>
        <v>#VALUE!</v>
      </c>
      <c r="I258" s="513" t="e">
        <f t="shared" si="262"/>
        <v>#VALUE!</v>
      </c>
      <c r="J258" s="523" t="str">
        <f t="shared" si="243"/>
        <v/>
      </c>
      <c r="K258" s="523" t="str">
        <f t="shared" si="244"/>
        <v/>
      </c>
      <c r="L258" s="523" t="str">
        <f t="shared" si="245"/>
        <v/>
      </c>
      <c r="O258" s="153"/>
      <c r="S258" s="513" t="e">
        <f t="shared" ref="S258:U258" si="263">SUM(S259)</f>
        <v>#VALUE!</v>
      </c>
      <c r="T258" s="513" t="e">
        <f t="shared" si="263"/>
        <v>#VALUE!</v>
      </c>
      <c r="U258" s="513" t="e">
        <f t="shared" si="263"/>
        <v>#VALUE!</v>
      </c>
    </row>
    <row r="259" s="1" customFormat="1" ht="21.75" customHeight="1" spans="1:21">
      <c r="A259" s="516" t="s">
        <v>309</v>
      </c>
      <c r="B259" s="515"/>
      <c r="C259" s="515"/>
      <c r="D259" s="515"/>
      <c r="E259" s="515"/>
      <c r="F259" s="515"/>
      <c r="G259" s="515" t="e">
        <f t="shared" si="260"/>
        <v>#VALUE!</v>
      </c>
      <c r="H259" s="515" t="e">
        <f>SUMIFS('[16]基本支出总表（开）'!P:P,'[16]基本支出总表（开）'!C:C,MID(A259,4,7))</f>
        <v>#VALUE!</v>
      </c>
      <c r="I259" s="515" t="e">
        <f>SUMIFS('[16]项目支出总表（开）'!Y:Y,'[16]项目支出总表（开）'!C:C,MID(A259,4,7))+SUMIFS('[16]项目支出总表（开）'!Z:Z,'[16]项目支出总表（开）'!C:C,MID(A259,4,7))</f>
        <v>#VALUE!</v>
      </c>
      <c r="J259" s="524" t="str">
        <f t="shared" si="243"/>
        <v/>
      </c>
      <c r="K259" s="524" t="str">
        <f t="shared" si="244"/>
        <v/>
      </c>
      <c r="L259" s="524" t="str">
        <f t="shared" si="245"/>
        <v/>
      </c>
      <c r="O259" s="153"/>
      <c r="S259" s="515" t="e">
        <f t="shared" si="261"/>
        <v>#VALUE!</v>
      </c>
      <c r="T259" s="515" t="e">
        <f>SUMIFS('[16]基本支出总表（开）'!M:M,'[16]基本支出总表（开）'!C:C,MID(TRIM(A259),2,7))</f>
        <v>#VALUE!</v>
      </c>
      <c r="U259" s="515" t="e">
        <f>SUMIFS('[16]项目支出总表（开）'!V:V,'[16]项目支出总表（开）'!C:C,MID(TRIM(A259),2,7))</f>
        <v>#VALUE!</v>
      </c>
    </row>
    <row r="260" s="1" customFormat="1" ht="21.75" customHeight="1" spans="1:21">
      <c r="A260" s="510" t="s">
        <v>310</v>
      </c>
      <c r="B260" s="511">
        <f t="shared" ref="B260:I260" si="264">B261+B263</f>
        <v>9</v>
      </c>
      <c r="C260" s="511">
        <f t="shared" si="264"/>
        <v>0</v>
      </c>
      <c r="D260" s="511">
        <f t="shared" si="264"/>
        <v>0</v>
      </c>
      <c r="E260" s="511">
        <f t="shared" si="264"/>
        <v>0</v>
      </c>
      <c r="F260" s="511">
        <f t="shared" si="264"/>
        <v>9</v>
      </c>
      <c r="G260" s="511" t="e">
        <f t="shared" si="264"/>
        <v>#VALUE!</v>
      </c>
      <c r="H260" s="511" t="e">
        <f t="shared" si="264"/>
        <v>#VALUE!</v>
      </c>
      <c r="I260" s="511" t="e">
        <f t="shared" si="264"/>
        <v>#VALUE!</v>
      </c>
      <c r="J260" s="522" t="e">
        <f t="shared" si="243"/>
        <v>#VALUE!</v>
      </c>
      <c r="K260" s="522" t="str">
        <f t="shared" si="244"/>
        <v/>
      </c>
      <c r="L260" s="522" t="e">
        <f t="shared" si="245"/>
        <v>#VALUE!</v>
      </c>
      <c r="O260" s="153"/>
      <c r="S260" s="511" t="e">
        <f t="shared" ref="S260:U260" si="265">S261+S263</f>
        <v>#VALUE!</v>
      </c>
      <c r="T260" s="511" t="e">
        <f t="shared" si="265"/>
        <v>#VALUE!</v>
      </c>
      <c r="U260" s="511" t="e">
        <f t="shared" si="265"/>
        <v>#VALUE!</v>
      </c>
    </row>
    <row r="261" s="1" customFormat="1" ht="21.75" customHeight="1" spans="1:21">
      <c r="A261" s="517" t="s">
        <v>311</v>
      </c>
      <c r="B261" s="513">
        <f t="shared" ref="B261:I261" si="266">SUM(B262)</f>
        <v>0</v>
      </c>
      <c r="C261" s="513">
        <f t="shared" si="266"/>
        <v>0</v>
      </c>
      <c r="D261" s="513">
        <f t="shared" si="266"/>
        <v>0</v>
      </c>
      <c r="E261" s="513">
        <f t="shared" si="266"/>
        <v>0</v>
      </c>
      <c r="F261" s="513">
        <f t="shared" si="266"/>
        <v>0</v>
      </c>
      <c r="G261" s="513" t="e">
        <f t="shared" si="266"/>
        <v>#VALUE!</v>
      </c>
      <c r="H261" s="513" t="e">
        <f t="shared" si="266"/>
        <v>#VALUE!</v>
      </c>
      <c r="I261" s="513" t="e">
        <f t="shared" si="266"/>
        <v>#VALUE!</v>
      </c>
      <c r="J261" s="523" t="str">
        <f t="shared" si="243"/>
        <v/>
      </c>
      <c r="K261" s="523" t="str">
        <f t="shared" si="244"/>
        <v/>
      </c>
      <c r="L261" s="523" t="str">
        <f t="shared" si="245"/>
        <v/>
      </c>
      <c r="O261" s="153"/>
      <c r="S261" s="513" t="e">
        <f t="shared" ref="S261:U261" si="267">SUM(S262)</f>
        <v>#VALUE!</v>
      </c>
      <c r="T261" s="513" t="e">
        <f t="shared" si="267"/>
        <v>#VALUE!</v>
      </c>
      <c r="U261" s="513" t="e">
        <f t="shared" si="267"/>
        <v>#VALUE!</v>
      </c>
    </row>
    <row r="262" s="1" customFormat="1" ht="21.75" customHeight="1" spans="1:21">
      <c r="A262" s="516" t="s">
        <v>312</v>
      </c>
      <c r="B262" s="515"/>
      <c r="C262" s="515"/>
      <c r="D262" s="515"/>
      <c r="E262" s="515"/>
      <c r="F262" s="515"/>
      <c r="G262" s="515" t="e">
        <f t="shared" si="260"/>
        <v>#VALUE!</v>
      </c>
      <c r="H262" s="515" t="e">
        <f>SUMIFS('[16]基本支出总表（开）'!P:P,'[16]基本支出总表（开）'!C:C,MID(A262,4,7))</f>
        <v>#VALUE!</v>
      </c>
      <c r="I262" s="515" t="e">
        <f>SUMIFS('[16]项目支出总表（开）'!Y:Y,'[16]项目支出总表（开）'!C:C,MID(A262,4,7))+SUMIFS('[16]项目支出总表（开）'!Z:Z,'[16]项目支出总表（开）'!C:C,MID(A262,4,7))</f>
        <v>#VALUE!</v>
      </c>
      <c r="J262" s="524" t="str">
        <f t="shared" si="243"/>
        <v/>
      </c>
      <c r="K262" s="524" t="str">
        <f t="shared" si="244"/>
        <v/>
      </c>
      <c r="L262" s="524" t="str">
        <f t="shared" si="245"/>
        <v/>
      </c>
      <c r="O262" s="153"/>
      <c r="S262" s="515" t="e">
        <f t="shared" si="261"/>
        <v>#VALUE!</v>
      </c>
      <c r="T262" s="515" t="e">
        <f>SUMIFS('[16]基本支出总表（开）'!M:M,'[16]基本支出总表（开）'!C:C,MID(TRIM(A262),2,7))</f>
        <v>#VALUE!</v>
      </c>
      <c r="U262" s="515" t="e">
        <f>SUMIFS('[16]项目支出总表（开）'!V:V,'[16]项目支出总表（开）'!C:C,MID(TRIM(A262),2,7))</f>
        <v>#VALUE!</v>
      </c>
    </row>
    <row r="263" s="1" customFormat="1" ht="21.75" customHeight="1" spans="1:21">
      <c r="A263" s="512" t="s">
        <v>313</v>
      </c>
      <c r="B263" s="513">
        <f t="shared" ref="B263:I263" si="268">SUM(B264:B265)</f>
        <v>9</v>
      </c>
      <c r="C263" s="513">
        <f t="shared" si="268"/>
        <v>0</v>
      </c>
      <c r="D263" s="513">
        <f t="shared" si="268"/>
        <v>0</v>
      </c>
      <c r="E263" s="513">
        <f t="shared" si="268"/>
        <v>0</v>
      </c>
      <c r="F263" s="513">
        <f t="shared" si="268"/>
        <v>9</v>
      </c>
      <c r="G263" s="513" t="e">
        <f t="shared" si="268"/>
        <v>#VALUE!</v>
      </c>
      <c r="H263" s="513" t="e">
        <f t="shared" si="268"/>
        <v>#VALUE!</v>
      </c>
      <c r="I263" s="513" t="e">
        <f t="shared" si="268"/>
        <v>#VALUE!</v>
      </c>
      <c r="J263" s="523" t="e">
        <f t="shared" si="243"/>
        <v>#VALUE!</v>
      </c>
      <c r="K263" s="523" t="str">
        <f t="shared" si="244"/>
        <v/>
      </c>
      <c r="L263" s="523" t="e">
        <f t="shared" si="245"/>
        <v>#VALUE!</v>
      </c>
      <c r="O263" s="153"/>
      <c r="S263" s="513" t="e">
        <f t="shared" ref="S263:U263" si="269">SUM(S264:S265)</f>
        <v>#VALUE!</v>
      </c>
      <c r="T263" s="513" t="e">
        <f t="shared" si="269"/>
        <v>#VALUE!</v>
      </c>
      <c r="U263" s="513" t="e">
        <f t="shared" si="269"/>
        <v>#VALUE!</v>
      </c>
    </row>
    <row r="264" s="1" customFormat="1" ht="21.75" customHeight="1" spans="1:21">
      <c r="A264" s="514" t="s">
        <v>314</v>
      </c>
      <c r="B264" s="515">
        <v>9</v>
      </c>
      <c r="C264" s="515"/>
      <c r="D264" s="515"/>
      <c r="E264" s="515"/>
      <c r="F264" s="515">
        <v>9</v>
      </c>
      <c r="G264" s="515" t="e">
        <f t="shared" ref="G264:G268" si="270">SUM(H264:I264)</f>
        <v>#VALUE!</v>
      </c>
      <c r="H264" s="515" t="e">
        <f>SUMIFS('[16]基本支出总表（开）'!P:P,'[16]基本支出总表（开）'!C:C,MID(A264,4,7))</f>
        <v>#VALUE!</v>
      </c>
      <c r="I264" s="515" t="e">
        <f>SUMIFS('[16]项目支出总表（开）'!Y:Y,'[16]项目支出总表（开）'!C:C,MID(A264,4,7))+SUMIFS('[16]项目支出总表（开）'!Z:Z,'[16]项目支出总表（开）'!C:C,MID(A264,4,7))</f>
        <v>#VALUE!</v>
      </c>
      <c r="J264" s="524" t="e">
        <f t="shared" si="243"/>
        <v>#VALUE!</v>
      </c>
      <c r="K264" s="524" t="str">
        <f t="shared" si="244"/>
        <v/>
      </c>
      <c r="L264" s="524" t="e">
        <f t="shared" si="245"/>
        <v>#VALUE!</v>
      </c>
      <c r="O264" s="153"/>
      <c r="S264" s="515" t="e">
        <f t="shared" ref="S264:S268" si="271">SUM(T264:U264)</f>
        <v>#VALUE!</v>
      </c>
      <c r="T264" s="515" t="e">
        <f>SUMIFS('[16]基本支出总表（开）'!M:M,'[16]基本支出总表（开）'!C:C,MID(TRIM(A264),2,7))</f>
        <v>#VALUE!</v>
      </c>
      <c r="U264" s="515" t="e">
        <f>SUMIFS('[16]项目支出总表（开）'!V:V,'[16]项目支出总表（开）'!C:C,MID(TRIM(A264),2,7))</f>
        <v>#VALUE!</v>
      </c>
    </row>
    <row r="265" s="1" customFormat="1" ht="21.75" customHeight="1" spans="1:21">
      <c r="A265" s="516" t="s">
        <v>315</v>
      </c>
      <c r="B265" s="515"/>
      <c r="C265" s="515"/>
      <c r="D265" s="515"/>
      <c r="E265" s="515"/>
      <c r="F265" s="515"/>
      <c r="G265" s="515" t="e">
        <f t="shared" si="270"/>
        <v>#VALUE!</v>
      </c>
      <c r="H265" s="515" t="e">
        <f>SUMIFS('[16]基本支出总表（开）'!P:P,'[16]基本支出总表（开）'!C:C,MID(A265,4,7))</f>
        <v>#VALUE!</v>
      </c>
      <c r="I265" s="515" t="e">
        <f>SUMIFS('[16]项目支出总表（开）'!Y:Y,'[16]项目支出总表（开）'!C:C,MID(A265,4,7))+SUMIFS('[16]项目支出总表（开）'!Z:Z,'[16]项目支出总表（开）'!C:C,MID(A265,4,7))</f>
        <v>#VALUE!</v>
      </c>
      <c r="J265" s="524" t="str">
        <f t="shared" si="243"/>
        <v/>
      </c>
      <c r="K265" s="524" t="str">
        <f t="shared" si="244"/>
        <v/>
      </c>
      <c r="L265" s="524" t="str">
        <f t="shared" si="245"/>
        <v/>
      </c>
      <c r="O265" s="153"/>
      <c r="S265" s="515" t="e">
        <f t="shared" si="271"/>
        <v>#VALUE!</v>
      </c>
      <c r="T265" s="515" t="e">
        <f>SUMIFS('[16]基本支出总表（开）'!M:M,'[16]基本支出总表（开）'!C:C,MID(TRIM(A265),2,7))</f>
        <v>#VALUE!</v>
      </c>
      <c r="U265" s="515" t="e">
        <f>SUMIFS('[16]项目支出总表（开）'!V:V,'[16]项目支出总表（开）'!C:C,MID(TRIM(A265),2,7))</f>
        <v>#VALUE!</v>
      </c>
    </row>
    <row r="266" s="1" customFormat="1" ht="21.75" customHeight="1" spans="1:21">
      <c r="A266" s="510" t="s">
        <v>316</v>
      </c>
      <c r="B266" s="511">
        <f t="shared" ref="B266:I266" si="272">B267+B269</f>
        <v>20926.929942</v>
      </c>
      <c r="C266" s="511">
        <f t="shared" si="272"/>
        <v>393.549942</v>
      </c>
      <c r="D266" s="511">
        <f t="shared" si="272"/>
        <v>370.387496</v>
      </c>
      <c r="E266" s="511">
        <f t="shared" si="272"/>
        <v>23.162446</v>
      </c>
      <c r="F266" s="511">
        <f t="shared" si="272"/>
        <v>20533.38</v>
      </c>
      <c r="G266" s="511" t="e">
        <f t="shared" si="272"/>
        <v>#VALUE!</v>
      </c>
      <c r="H266" s="511" t="e">
        <f t="shared" si="272"/>
        <v>#VALUE!</v>
      </c>
      <c r="I266" s="511" t="e">
        <f t="shared" si="272"/>
        <v>#VALUE!</v>
      </c>
      <c r="J266" s="522" t="e">
        <f t="shared" si="243"/>
        <v>#VALUE!</v>
      </c>
      <c r="K266" s="522" t="e">
        <f t="shared" si="244"/>
        <v>#VALUE!</v>
      </c>
      <c r="L266" s="522" t="e">
        <f t="shared" si="245"/>
        <v>#VALUE!</v>
      </c>
      <c r="O266" s="153"/>
      <c r="S266" s="511" t="e">
        <f t="shared" ref="S266:U266" si="273">S267+S269</f>
        <v>#VALUE!</v>
      </c>
      <c r="T266" s="511" t="e">
        <f t="shared" si="273"/>
        <v>#VALUE!</v>
      </c>
      <c r="U266" s="511" t="e">
        <f t="shared" si="273"/>
        <v>#VALUE!</v>
      </c>
    </row>
    <row r="267" s="1" customFormat="1" ht="21.75" customHeight="1" spans="1:21">
      <c r="A267" s="517" t="s">
        <v>320</v>
      </c>
      <c r="B267" s="513">
        <f t="shared" ref="B267:I267" si="274">SUM(B268)</f>
        <v>0</v>
      </c>
      <c r="C267" s="513">
        <f t="shared" si="274"/>
        <v>0</v>
      </c>
      <c r="D267" s="513">
        <f t="shared" si="274"/>
        <v>0</v>
      </c>
      <c r="E267" s="513">
        <f t="shared" si="274"/>
        <v>0</v>
      </c>
      <c r="F267" s="513">
        <f t="shared" si="274"/>
        <v>0</v>
      </c>
      <c r="G267" s="513" t="e">
        <f t="shared" si="274"/>
        <v>#VALUE!</v>
      </c>
      <c r="H267" s="513" t="e">
        <f t="shared" si="274"/>
        <v>#VALUE!</v>
      </c>
      <c r="I267" s="513" t="e">
        <f t="shared" si="274"/>
        <v>#VALUE!</v>
      </c>
      <c r="J267" s="523" t="str">
        <f t="shared" si="243"/>
        <v/>
      </c>
      <c r="K267" s="523" t="str">
        <f t="shared" si="244"/>
        <v/>
      </c>
      <c r="L267" s="523" t="str">
        <f t="shared" si="245"/>
        <v/>
      </c>
      <c r="O267" s="153"/>
      <c r="S267" s="513" t="e">
        <f t="shared" ref="S267:U267" si="275">SUM(S268)</f>
        <v>#VALUE!</v>
      </c>
      <c r="T267" s="513" t="e">
        <f t="shared" si="275"/>
        <v>#VALUE!</v>
      </c>
      <c r="U267" s="513" t="e">
        <f t="shared" si="275"/>
        <v>#VALUE!</v>
      </c>
    </row>
    <row r="268" s="1" customFormat="1" ht="21.75" customHeight="1" spans="1:21">
      <c r="A268" s="516" t="s">
        <v>321</v>
      </c>
      <c r="B268" s="515"/>
      <c r="C268" s="515"/>
      <c r="D268" s="515"/>
      <c r="E268" s="515"/>
      <c r="F268" s="515"/>
      <c r="G268" s="515" t="e">
        <f t="shared" si="270"/>
        <v>#VALUE!</v>
      </c>
      <c r="H268" s="515" t="e">
        <f>SUMIFS('[16]基本支出总表（开）'!P:P,'[16]基本支出总表（开）'!C:C,MID(A268,4,7))</f>
        <v>#VALUE!</v>
      </c>
      <c r="I268" s="515" t="e">
        <f>SUMIFS('[16]项目支出总表（开）'!Y:Y,'[16]项目支出总表（开）'!C:C,MID(A268,4,7))+SUMIFS('[16]项目支出总表（开）'!Z:Z,'[16]项目支出总表（开）'!C:C,MID(A268,4,7))</f>
        <v>#VALUE!</v>
      </c>
      <c r="J268" s="524" t="str">
        <f t="shared" si="243"/>
        <v/>
      </c>
      <c r="K268" s="524" t="str">
        <f t="shared" si="244"/>
        <v/>
      </c>
      <c r="L268" s="524" t="str">
        <f t="shared" si="245"/>
        <v/>
      </c>
      <c r="O268" s="153"/>
      <c r="S268" s="515" t="e">
        <f t="shared" si="271"/>
        <v>#VALUE!</v>
      </c>
      <c r="T268" s="515" t="e">
        <f>SUMIFS('[16]基本支出总表（开）'!M:M,'[16]基本支出总表（开）'!C:C,MID(TRIM(A268),2,7))</f>
        <v>#VALUE!</v>
      </c>
      <c r="U268" s="515" t="e">
        <f>SUMIFS('[16]项目支出总表（开）'!V:V,'[16]项目支出总表（开）'!C:C,MID(TRIM(A268),2,7))</f>
        <v>#VALUE!</v>
      </c>
    </row>
    <row r="269" s="1" customFormat="1" ht="21.75" customHeight="1" spans="1:21">
      <c r="A269" s="512" t="s">
        <v>322</v>
      </c>
      <c r="B269" s="513">
        <f t="shared" ref="B269:I269" si="276">SUM(B270:B273)</f>
        <v>20926.929942</v>
      </c>
      <c r="C269" s="513">
        <f t="shared" si="276"/>
        <v>393.549942</v>
      </c>
      <c r="D269" s="513">
        <f t="shared" si="276"/>
        <v>370.387496</v>
      </c>
      <c r="E269" s="513">
        <f t="shared" si="276"/>
        <v>23.162446</v>
      </c>
      <c r="F269" s="513">
        <f t="shared" si="276"/>
        <v>20533.38</v>
      </c>
      <c r="G269" s="513" t="e">
        <f t="shared" si="276"/>
        <v>#VALUE!</v>
      </c>
      <c r="H269" s="513" t="e">
        <f t="shared" si="276"/>
        <v>#VALUE!</v>
      </c>
      <c r="I269" s="513" t="e">
        <f t="shared" si="276"/>
        <v>#VALUE!</v>
      </c>
      <c r="J269" s="523" t="e">
        <f t="shared" si="243"/>
        <v>#VALUE!</v>
      </c>
      <c r="K269" s="523" t="e">
        <f t="shared" si="244"/>
        <v>#VALUE!</v>
      </c>
      <c r="L269" s="523" t="e">
        <f t="shared" si="245"/>
        <v>#VALUE!</v>
      </c>
      <c r="O269" s="153"/>
      <c r="S269" s="513" t="e">
        <f t="shared" ref="S269:U269" si="277">SUM(S270:S273)</f>
        <v>#VALUE!</v>
      </c>
      <c r="T269" s="513" t="e">
        <f t="shared" si="277"/>
        <v>#VALUE!</v>
      </c>
      <c r="U269" s="513" t="e">
        <f t="shared" si="277"/>
        <v>#VALUE!</v>
      </c>
    </row>
    <row r="270" s="1" customFormat="1" ht="21.75" customHeight="1" spans="1:21">
      <c r="A270" s="514" t="s">
        <v>323</v>
      </c>
      <c r="B270" s="515">
        <v>393.549942</v>
      </c>
      <c r="C270" s="515">
        <v>393.549942</v>
      </c>
      <c r="D270" s="515">
        <v>370.387496</v>
      </c>
      <c r="E270" s="515">
        <v>23.162446</v>
      </c>
      <c r="F270" s="515"/>
      <c r="G270" s="515" t="e">
        <f t="shared" ref="G270:G273" si="278">SUM(H270:I270)</f>
        <v>#VALUE!</v>
      </c>
      <c r="H270" s="515" t="e">
        <f>SUMIFS('[16]基本支出总表（开）'!P:P,'[16]基本支出总表（开）'!C:C,MID(A270,4,7))</f>
        <v>#VALUE!</v>
      </c>
      <c r="I270" s="515" t="e">
        <f>SUMIFS('[16]项目支出总表（开）'!Y:Y,'[16]项目支出总表（开）'!C:C,MID(A270,4,7))+SUMIFS('[16]项目支出总表（开）'!Z:Z,'[16]项目支出总表（开）'!C:C,MID(A270,4,7))</f>
        <v>#VALUE!</v>
      </c>
      <c r="J270" s="524" t="e">
        <f t="shared" si="243"/>
        <v>#VALUE!</v>
      </c>
      <c r="K270" s="524" t="e">
        <f t="shared" si="244"/>
        <v>#VALUE!</v>
      </c>
      <c r="L270" s="524" t="str">
        <f t="shared" si="245"/>
        <v/>
      </c>
      <c r="O270" s="153"/>
      <c r="S270" s="515" t="e">
        <f t="shared" ref="S270:S273" si="279">SUM(T270:U270)</f>
        <v>#VALUE!</v>
      </c>
      <c r="T270" s="515" t="e">
        <f>SUMIFS('[16]基本支出总表（开）'!M:M,'[16]基本支出总表（开）'!C:C,MID(TRIM(A270),2,7))</f>
        <v>#VALUE!</v>
      </c>
      <c r="U270" s="515" t="e">
        <f>SUMIFS('[16]项目支出总表（开）'!V:V,'[16]项目支出总表（开）'!C:C,MID(TRIM(A270),2,7))</f>
        <v>#VALUE!</v>
      </c>
    </row>
    <row r="271" s="1" customFormat="1" ht="21.75" customHeight="1" spans="1:21">
      <c r="A271" s="514" t="s">
        <v>324</v>
      </c>
      <c r="B271" s="515">
        <v>225.38</v>
      </c>
      <c r="C271" s="515"/>
      <c r="D271" s="515"/>
      <c r="E271" s="515"/>
      <c r="F271" s="515">
        <v>225.38</v>
      </c>
      <c r="G271" s="515" t="e">
        <f t="shared" si="278"/>
        <v>#VALUE!</v>
      </c>
      <c r="H271" s="515" t="e">
        <f>SUMIFS('[16]基本支出总表（开）'!P:P,'[16]基本支出总表（开）'!C:C,MID(A271,4,7))</f>
        <v>#VALUE!</v>
      </c>
      <c r="I271" s="515" t="e">
        <f>SUMIFS('[16]项目支出总表（开）'!Y:Y,'[16]项目支出总表（开）'!C:C,MID(A271,4,7))+SUMIFS('[16]项目支出总表（开）'!Z:Z,'[16]项目支出总表（开）'!C:C,MID(A271,4,7))</f>
        <v>#VALUE!</v>
      </c>
      <c r="J271" s="524" t="e">
        <f t="shared" si="243"/>
        <v>#VALUE!</v>
      </c>
      <c r="K271" s="524" t="str">
        <f t="shared" si="244"/>
        <v/>
      </c>
      <c r="L271" s="524" t="e">
        <f t="shared" si="245"/>
        <v>#VALUE!</v>
      </c>
      <c r="O271" s="153"/>
      <c r="S271" s="515" t="e">
        <f t="shared" si="279"/>
        <v>#VALUE!</v>
      </c>
      <c r="T271" s="515" t="e">
        <f>SUMIFS('[16]基本支出总表（开）'!M:M,'[16]基本支出总表（开）'!C:C,MID(TRIM(A271),2,7))</f>
        <v>#VALUE!</v>
      </c>
      <c r="U271" s="515" t="e">
        <f>SUMIFS('[16]项目支出总表（开）'!V:V,'[16]项目支出总表（开）'!C:C,MID(TRIM(A271),2,7))</f>
        <v>#VALUE!</v>
      </c>
    </row>
    <row r="272" s="1" customFormat="1" ht="21.75" customHeight="1" spans="1:21">
      <c r="A272" s="516" t="s">
        <v>325</v>
      </c>
      <c r="B272" s="515"/>
      <c r="C272" s="515"/>
      <c r="D272" s="515"/>
      <c r="E272" s="515"/>
      <c r="F272" s="515"/>
      <c r="G272" s="515" t="e">
        <f t="shared" si="278"/>
        <v>#VALUE!</v>
      </c>
      <c r="H272" s="515" t="e">
        <f>SUMIFS('[16]基本支出总表（开）'!P:P,'[16]基本支出总表（开）'!C:C,MID(A272,4,7))</f>
        <v>#VALUE!</v>
      </c>
      <c r="I272" s="515" t="e">
        <f>SUMIFS('[16]项目支出总表（开）'!Y:Y,'[16]项目支出总表（开）'!C:C,MID(A272,4,7))+SUMIFS('[16]项目支出总表（开）'!Z:Z,'[16]项目支出总表（开）'!C:C,MID(A272,4,7))</f>
        <v>#VALUE!</v>
      </c>
      <c r="J272" s="524" t="str">
        <f t="shared" si="243"/>
        <v/>
      </c>
      <c r="K272" s="524" t="str">
        <f t="shared" si="244"/>
        <v/>
      </c>
      <c r="L272" s="524" t="str">
        <f t="shared" si="245"/>
        <v/>
      </c>
      <c r="O272" s="153"/>
      <c r="S272" s="515" t="e">
        <f t="shared" si="279"/>
        <v>#VALUE!</v>
      </c>
      <c r="T272" s="515" t="e">
        <f>SUMIFS('[16]基本支出总表（开）'!M:M,'[16]基本支出总表（开）'!C:C,MID(TRIM(A272),2,7))</f>
        <v>#VALUE!</v>
      </c>
      <c r="U272" s="515" t="e">
        <f>SUMIFS('[16]项目支出总表（开）'!V:V,'[16]项目支出总表（开）'!C:C,MID(TRIM(A272),2,7))</f>
        <v>#VALUE!</v>
      </c>
    </row>
    <row r="273" s="1" customFormat="1" ht="21.75" customHeight="1" spans="1:21">
      <c r="A273" s="514" t="s">
        <v>326</v>
      </c>
      <c r="B273" s="515">
        <v>20308</v>
      </c>
      <c r="C273" s="515"/>
      <c r="D273" s="515"/>
      <c r="E273" s="515"/>
      <c r="F273" s="515">
        <v>20308</v>
      </c>
      <c r="G273" s="515" t="e">
        <f t="shared" si="278"/>
        <v>#VALUE!</v>
      </c>
      <c r="H273" s="515" t="e">
        <f>SUMIFS('[16]基本支出总表（开）'!P:P,'[16]基本支出总表（开）'!C:C,MID(A273,4,7))</f>
        <v>#VALUE!</v>
      </c>
      <c r="I273" s="515" t="e">
        <f>SUMIFS('[16]项目支出总表（开）'!Y:Y,'[16]项目支出总表（开）'!C:C,MID(A273,4,7))+SUMIFS('[16]项目支出总表（开）'!Z:Z,'[16]项目支出总表（开）'!C:C,MID(A273,4,7))</f>
        <v>#VALUE!</v>
      </c>
      <c r="J273" s="524" t="e">
        <f t="shared" si="243"/>
        <v>#VALUE!</v>
      </c>
      <c r="K273" s="524" t="str">
        <f t="shared" si="244"/>
        <v/>
      </c>
      <c r="L273" s="524" t="e">
        <f t="shared" si="245"/>
        <v>#VALUE!</v>
      </c>
      <c r="O273" s="153"/>
      <c r="S273" s="515" t="e">
        <f t="shared" si="279"/>
        <v>#VALUE!</v>
      </c>
      <c r="T273" s="515" t="e">
        <f>SUMIFS('[16]基本支出总表（开）'!M:M,'[16]基本支出总表（开）'!C:C,MID(TRIM(A273),2,7))</f>
        <v>#VALUE!</v>
      </c>
      <c r="U273" s="515" t="e">
        <f>SUMIFS('[16]项目支出总表（开）'!V:V,'[16]项目支出总表（开）'!C:C,MID(TRIM(A273),2,7))</f>
        <v>#VALUE!</v>
      </c>
    </row>
    <row r="274" s="1" customFormat="1" ht="21.75" customHeight="1" spans="1:21">
      <c r="A274" s="518" t="s">
        <v>327</v>
      </c>
      <c r="B274" s="511">
        <f t="shared" ref="B274:I274" si="280">B275+B277</f>
        <v>0</v>
      </c>
      <c r="C274" s="511">
        <f t="shared" si="280"/>
        <v>0</v>
      </c>
      <c r="D274" s="511">
        <f t="shared" si="280"/>
        <v>0</v>
      </c>
      <c r="E274" s="511">
        <f t="shared" si="280"/>
        <v>0</v>
      </c>
      <c r="F274" s="511">
        <f t="shared" si="280"/>
        <v>0</v>
      </c>
      <c r="G274" s="511" t="e">
        <f t="shared" si="280"/>
        <v>#VALUE!</v>
      </c>
      <c r="H274" s="511" t="e">
        <f t="shared" si="280"/>
        <v>#VALUE!</v>
      </c>
      <c r="I274" s="511" t="e">
        <f t="shared" si="280"/>
        <v>#VALUE!</v>
      </c>
      <c r="J274" s="522" t="str">
        <f t="shared" si="243"/>
        <v/>
      </c>
      <c r="K274" s="522" t="str">
        <f t="shared" si="244"/>
        <v/>
      </c>
      <c r="L274" s="522" t="str">
        <f t="shared" si="245"/>
        <v/>
      </c>
      <c r="O274" s="153"/>
      <c r="S274" s="511" t="e">
        <f t="shared" ref="S274:U274" si="281">S275+S277</f>
        <v>#VALUE!</v>
      </c>
      <c r="T274" s="511" t="e">
        <f t="shared" si="281"/>
        <v>#VALUE!</v>
      </c>
      <c r="U274" s="511" t="e">
        <f t="shared" si="281"/>
        <v>#VALUE!</v>
      </c>
    </row>
    <row r="275" s="1" customFormat="1" ht="21.75" customHeight="1" spans="1:21">
      <c r="A275" s="517" t="s">
        <v>328</v>
      </c>
      <c r="B275" s="513">
        <f t="shared" ref="B275:F275" si="282">B276</f>
        <v>0</v>
      </c>
      <c r="C275" s="513">
        <f t="shared" si="282"/>
        <v>0</v>
      </c>
      <c r="D275" s="513">
        <f t="shared" si="282"/>
        <v>0</v>
      </c>
      <c r="E275" s="513">
        <f t="shared" si="282"/>
        <v>0</v>
      </c>
      <c r="F275" s="513">
        <f t="shared" si="282"/>
        <v>0</v>
      </c>
      <c r="G275" s="513" t="e">
        <f>SUM(G276:G276)</f>
        <v>#VALUE!</v>
      </c>
      <c r="H275" s="513" t="e">
        <f>H276</f>
        <v>#VALUE!</v>
      </c>
      <c r="I275" s="513" t="e">
        <f>SUM(I276:I276)</f>
        <v>#VALUE!</v>
      </c>
      <c r="J275" s="523" t="str">
        <f t="shared" si="243"/>
        <v/>
      </c>
      <c r="K275" s="523" t="str">
        <f t="shared" si="244"/>
        <v/>
      </c>
      <c r="L275" s="523" t="str">
        <f t="shared" si="245"/>
        <v/>
      </c>
      <c r="O275" s="153"/>
      <c r="S275" s="513" t="e">
        <f t="shared" ref="S275:U275" si="283">SUM(S276:S276)</f>
        <v>#VALUE!</v>
      </c>
      <c r="T275" s="513" t="e">
        <f t="shared" si="283"/>
        <v>#VALUE!</v>
      </c>
      <c r="U275" s="513" t="e">
        <f t="shared" si="283"/>
        <v>#VALUE!</v>
      </c>
    </row>
    <row r="276" s="1" customFormat="1" ht="21.75" customHeight="1" spans="1:21">
      <c r="A276" s="516" t="s">
        <v>329</v>
      </c>
      <c r="B276" s="515"/>
      <c r="C276" s="515"/>
      <c r="D276" s="515"/>
      <c r="E276" s="515"/>
      <c r="F276" s="515"/>
      <c r="G276" s="515" t="e">
        <f t="shared" ref="G276:G281" si="284">SUM(H276:I276)</f>
        <v>#VALUE!</v>
      </c>
      <c r="H276" s="515" t="e">
        <f>SUMIFS('[16]基本支出总表（开）'!P:P,'[16]基本支出总表（开）'!C:C,MID(A276,4,7))</f>
        <v>#VALUE!</v>
      </c>
      <c r="I276" s="515" t="e">
        <f>SUMIFS('[16]项目支出总表（开）'!Y:Y,'[16]项目支出总表（开）'!C:C,MID(A276,4,7))+SUMIFS('[16]项目支出总表（开）'!Z:Z,'[16]项目支出总表（开）'!C:C,MID(A276,4,7))</f>
        <v>#VALUE!</v>
      </c>
      <c r="J276" s="524" t="str">
        <f t="shared" si="243"/>
        <v/>
      </c>
      <c r="K276" s="524" t="str">
        <f t="shared" si="244"/>
        <v/>
      </c>
      <c r="L276" s="524" t="str">
        <f t="shared" si="245"/>
        <v/>
      </c>
      <c r="O276" s="153"/>
      <c r="S276" s="515" t="e">
        <f t="shared" ref="S276:S281" si="285">SUM(T276:U276)</f>
        <v>#VALUE!</v>
      </c>
      <c r="T276" s="515" t="e">
        <f>SUMIFS('[16]基本支出总表（开）'!M:M,'[16]基本支出总表（开）'!C:C,MID(TRIM(A276),2,7))</f>
        <v>#VALUE!</v>
      </c>
      <c r="U276" s="515" t="e">
        <f>SUMIFS('[16]项目支出总表（开）'!V:V,'[16]项目支出总表（开）'!C:C,MID(TRIM(A276),2,7))</f>
        <v>#VALUE!</v>
      </c>
    </row>
    <row r="277" s="1" customFormat="1" ht="21.75" customHeight="1" spans="1:21">
      <c r="A277" s="517" t="s">
        <v>330</v>
      </c>
      <c r="B277" s="513">
        <f t="shared" ref="B277:F277" si="286">B278</f>
        <v>0</v>
      </c>
      <c r="C277" s="513">
        <f t="shared" si="286"/>
        <v>0</v>
      </c>
      <c r="D277" s="513">
        <f t="shared" si="286"/>
        <v>0</v>
      </c>
      <c r="E277" s="513">
        <f t="shared" si="286"/>
        <v>0</v>
      </c>
      <c r="F277" s="513">
        <f t="shared" si="286"/>
        <v>0</v>
      </c>
      <c r="G277" s="513" t="e">
        <f>SUM(G278:G278)</f>
        <v>#VALUE!</v>
      </c>
      <c r="H277" s="513" t="e">
        <f>H278</f>
        <v>#VALUE!</v>
      </c>
      <c r="I277" s="513" t="e">
        <f>SUM(I278:I278)</f>
        <v>#VALUE!</v>
      </c>
      <c r="J277" s="523" t="str">
        <f t="shared" si="243"/>
        <v/>
      </c>
      <c r="K277" s="523" t="str">
        <f t="shared" si="244"/>
        <v/>
      </c>
      <c r="L277" s="523" t="str">
        <f t="shared" si="245"/>
        <v/>
      </c>
      <c r="O277" s="153"/>
      <c r="S277" s="513" t="e">
        <f t="shared" ref="S277:U277" si="287">SUM(S278:S278)</f>
        <v>#VALUE!</v>
      </c>
      <c r="T277" s="513" t="e">
        <f t="shared" si="287"/>
        <v>#VALUE!</v>
      </c>
      <c r="U277" s="513" t="e">
        <f t="shared" si="287"/>
        <v>#VALUE!</v>
      </c>
    </row>
    <row r="278" s="1" customFormat="1" ht="21.75" customHeight="1" spans="1:21">
      <c r="A278" s="516" t="s">
        <v>331</v>
      </c>
      <c r="B278" s="515"/>
      <c r="C278" s="515"/>
      <c r="D278" s="515"/>
      <c r="E278" s="515"/>
      <c r="F278" s="515"/>
      <c r="G278" s="515" t="e">
        <f t="shared" si="284"/>
        <v>#VALUE!</v>
      </c>
      <c r="H278" s="515" t="e">
        <f>SUMIFS('[16]基本支出总表（开）'!P:P,'[16]基本支出总表（开）'!C:C,MID(A278,4,7))</f>
        <v>#VALUE!</v>
      </c>
      <c r="I278" s="515" t="e">
        <f>SUMIFS('[16]项目支出总表（开）'!Y:Y,'[16]项目支出总表（开）'!C:C,MID(A278,4,7))+SUMIFS('[16]项目支出总表（开）'!Z:Z,'[16]项目支出总表（开）'!C:C,MID(A278,4,7))</f>
        <v>#VALUE!</v>
      </c>
      <c r="J278" s="524"/>
      <c r="K278" s="524"/>
      <c r="L278" s="524"/>
      <c r="O278" s="153"/>
      <c r="S278" s="515" t="e">
        <f t="shared" si="285"/>
        <v>#VALUE!</v>
      </c>
      <c r="T278" s="515" t="e">
        <f>SUMIFS('[16]基本支出总表（开）'!M:M,'[16]基本支出总表（开）'!C:C,MID(TRIM(A278),2,7))</f>
        <v>#VALUE!</v>
      </c>
      <c r="U278" s="515" t="e">
        <f>SUMIFS('[16]项目支出总表（开）'!V:V,'[16]项目支出总表（开）'!C:C,MID(TRIM(A278),2,7))</f>
        <v>#VALUE!</v>
      </c>
    </row>
    <row r="279" s="1" customFormat="1" ht="21.75" customHeight="1" spans="1:21">
      <c r="A279" s="518" t="s">
        <v>332</v>
      </c>
      <c r="B279" s="511">
        <f t="shared" ref="B279:I279" si="288">B280</f>
        <v>0</v>
      </c>
      <c r="C279" s="511">
        <f t="shared" si="288"/>
        <v>0</v>
      </c>
      <c r="D279" s="511">
        <f t="shared" si="288"/>
        <v>0</v>
      </c>
      <c r="E279" s="511">
        <f t="shared" si="288"/>
        <v>0</v>
      </c>
      <c r="F279" s="511">
        <f t="shared" si="288"/>
        <v>0</v>
      </c>
      <c r="G279" s="511" t="e">
        <f t="shared" si="288"/>
        <v>#VALUE!</v>
      </c>
      <c r="H279" s="511" t="e">
        <f t="shared" si="288"/>
        <v>#VALUE!</v>
      </c>
      <c r="I279" s="511" t="e">
        <f t="shared" si="288"/>
        <v>#VALUE!</v>
      </c>
      <c r="J279" s="522" t="str">
        <f t="shared" ref="J279:J329" si="289">IF(B279=0,"",G279/B279)</f>
        <v/>
      </c>
      <c r="K279" s="522" t="str">
        <f t="shared" ref="K279:K329" si="290">IF(C279=0,"",H279/C279)</f>
        <v/>
      </c>
      <c r="L279" s="522" t="str">
        <f t="shared" ref="L279:L329" si="291">IF(F279=0,"",I279/F279)</f>
        <v/>
      </c>
      <c r="O279" s="153"/>
      <c r="S279" s="511" t="e">
        <f t="shared" ref="S279:U279" si="292">S280</f>
        <v>#VALUE!</v>
      </c>
      <c r="T279" s="511" t="e">
        <f t="shared" si="292"/>
        <v>#VALUE!</v>
      </c>
      <c r="U279" s="511" t="e">
        <f t="shared" si="292"/>
        <v>#VALUE!</v>
      </c>
    </row>
    <row r="280" s="1" customFormat="1" ht="21.75" customHeight="1" spans="1:21">
      <c r="A280" s="517" t="s">
        <v>333</v>
      </c>
      <c r="B280" s="513">
        <f t="shared" ref="B280:I280" si="293">B281</f>
        <v>0</v>
      </c>
      <c r="C280" s="513">
        <f t="shared" si="293"/>
        <v>0</v>
      </c>
      <c r="D280" s="513">
        <f t="shared" si="293"/>
        <v>0</v>
      </c>
      <c r="E280" s="513">
        <f t="shared" si="293"/>
        <v>0</v>
      </c>
      <c r="F280" s="513">
        <f t="shared" si="293"/>
        <v>0</v>
      </c>
      <c r="G280" s="513" t="e">
        <f t="shared" si="293"/>
        <v>#VALUE!</v>
      </c>
      <c r="H280" s="513" t="e">
        <f t="shared" si="293"/>
        <v>#VALUE!</v>
      </c>
      <c r="I280" s="513" t="e">
        <f t="shared" si="293"/>
        <v>#VALUE!</v>
      </c>
      <c r="J280" s="523" t="str">
        <f t="shared" si="289"/>
        <v/>
      </c>
      <c r="K280" s="523" t="str">
        <f t="shared" si="290"/>
        <v/>
      </c>
      <c r="L280" s="523" t="str">
        <f t="shared" si="291"/>
        <v/>
      </c>
      <c r="O280" s="153"/>
      <c r="S280" s="513" t="e">
        <f t="shared" ref="S280:U280" si="294">S281</f>
        <v>#VALUE!</v>
      </c>
      <c r="T280" s="513" t="e">
        <f t="shared" si="294"/>
        <v>#VALUE!</v>
      </c>
      <c r="U280" s="513" t="e">
        <f t="shared" si="294"/>
        <v>#VALUE!</v>
      </c>
    </row>
    <row r="281" s="1" customFormat="1" ht="21.75" customHeight="1" spans="1:21">
      <c r="A281" s="516" t="s">
        <v>334</v>
      </c>
      <c r="B281" s="515"/>
      <c r="C281" s="515"/>
      <c r="D281" s="515"/>
      <c r="E281" s="515"/>
      <c r="F281" s="515"/>
      <c r="G281" s="515" t="e">
        <f t="shared" si="284"/>
        <v>#VALUE!</v>
      </c>
      <c r="H281" s="515" t="e">
        <f>SUMIFS('[16]基本支出总表（开）'!P:P,'[16]基本支出总表（开）'!C:C,MID(A281,4,7))</f>
        <v>#VALUE!</v>
      </c>
      <c r="I281" s="515" t="e">
        <f>SUMIFS('[16]项目支出总表（开）'!Y:Y,'[16]项目支出总表（开）'!C:C,MID(A281,4,7))+SUMIFS('[16]项目支出总表（开）'!Z:Z,'[16]项目支出总表（开）'!C:C,MID(A281,4,7))</f>
        <v>#VALUE!</v>
      </c>
      <c r="J281" s="524" t="str">
        <f t="shared" si="289"/>
        <v/>
      </c>
      <c r="K281" s="524" t="str">
        <f t="shared" si="290"/>
        <v/>
      </c>
      <c r="L281" s="524" t="str">
        <f t="shared" si="291"/>
        <v/>
      </c>
      <c r="O281" s="153"/>
      <c r="S281" s="515" t="e">
        <f t="shared" si="285"/>
        <v>#VALUE!</v>
      </c>
      <c r="T281" s="515" t="e">
        <f>SUMIFS('[16]基本支出总表（开）'!M:M,'[16]基本支出总表（开）'!C:C,MID(TRIM(A281),2,7))</f>
        <v>#VALUE!</v>
      </c>
      <c r="U281" s="515" t="e">
        <f>SUMIFS('[16]项目支出总表（开）'!V:V,'[16]项目支出总表（开）'!C:C,MID(TRIM(A281),2,7))</f>
        <v>#VALUE!</v>
      </c>
    </row>
    <row r="282" s="1" customFormat="1" ht="21.75" customHeight="1" spans="1:21">
      <c r="A282" s="510" t="s">
        <v>335</v>
      </c>
      <c r="B282" s="511">
        <f t="shared" ref="B282:I282" si="295">SUM(B283)</f>
        <v>1684.454596</v>
      </c>
      <c r="C282" s="511">
        <f t="shared" si="295"/>
        <v>1166.454596</v>
      </c>
      <c r="D282" s="511">
        <f t="shared" si="295"/>
        <v>1077.63791</v>
      </c>
      <c r="E282" s="511">
        <f t="shared" si="295"/>
        <v>88.816686</v>
      </c>
      <c r="F282" s="511">
        <f t="shared" si="295"/>
        <v>518</v>
      </c>
      <c r="G282" s="511" t="e">
        <f t="shared" si="295"/>
        <v>#VALUE!</v>
      </c>
      <c r="H282" s="511" t="e">
        <f t="shared" si="295"/>
        <v>#VALUE!</v>
      </c>
      <c r="I282" s="511" t="e">
        <f t="shared" si="295"/>
        <v>#VALUE!</v>
      </c>
      <c r="J282" s="522" t="e">
        <f t="shared" si="289"/>
        <v>#VALUE!</v>
      </c>
      <c r="K282" s="522" t="e">
        <f t="shared" si="290"/>
        <v>#VALUE!</v>
      </c>
      <c r="L282" s="522" t="e">
        <f t="shared" si="291"/>
        <v>#VALUE!</v>
      </c>
      <c r="O282" s="153"/>
      <c r="S282" s="511" t="e">
        <f t="shared" ref="S282:U282" si="296">SUM(S283)</f>
        <v>#VALUE!</v>
      </c>
      <c r="T282" s="511" t="e">
        <f t="shared" si="296"/>
        <v>#VALUE!</v>
      </c>
      <c r="U282" s="511" t="e">
        <f t="shared" si="296"/>
        <v>#VALUE!</v>
      </c>
    </row>
    <row r="283" s="1" customFormat="1" ht="21.75" customHeight="1" spans="1:21">
      <c r="A283" s="512" t="s">
        <v>336</v>
      </c>
      <c r="B283" s="513">
        <f t="shared" ref="B283:I283" si="297">SUM(B284:B287)</f>
        <v>1684.454596</v>
      </c>
      <c r="C283" s="513">
        <f t="shared" si="297"/>
        <v>1166.454596</v>
      </c>
      <c r="D283" s="513">
        <f t="shared" si="297"/>
        <v>1077.63791</v>
      </c>
      <c r="E283" s="513">
        <f t="shared" si="297"/>
        <v>88.816686</v>
      </c>
      <c r="F283" s="513">
        <f t="shared" si="297"/>
        <v>518</v>
      </c>
      <c r="G283" s="513" t="e">
        <f t="shared" si="297"/>
        <v>#VALUE!</v>
      </c>
      <c r="H283" s="513" t="e">
        <f t="shared" si="297"/>
        <v>#VALUE!</v>
      </c>
      <c r="I283" s="513" t="e">
        <f t="shared" si="297"/>
        <v>#VALUE!</v>
      </c>
      <c r="J283" s="523" t="e">
        <f t="shared" si="289"/>
        <v>#VALUE!</v>
      </c>
      <c r="K283" s="523" t="e">
        <f t="shared" si="290"/>
        <v>#VALUE!</v>
      </c>
      <c r="L283" s="523" t="e">
        <f t="shared" si="291"/>
        <v>#VALUE!</v>
      </c>
      <c r="O283" s="153"/>
      <c r="S283" s="513" t="e">
        <f t="shared" ref="S283:U283" si="298">SUM(S284:S287)</f>
        <v>#VALUE!</v>
      </c>
      <c r="T283" s="513" t="e">
        <f t="shared" si="298"/>
        <v>#VALUE!</v>
      </c>
      <c r="U283" s="513" t="e">
        <f t="shared" si="298"/>
        <v>#VALUE!</v>
      </c>
    </row>
    <row r="284" s="1" customFormat="1" ht="21.75" customHeight="1" spans="1:21">
      <c r="A284" s="514" t="s">
        <v>337</v>
      </c>
      <c r="B284" s="515">
        <v>1166.454596</v>
      </c>
      <c r="C284" s="515">
        <v>1166.454596</v>
      </c>
      <c r="D284" s="515">
        <v>1077.63791</v>
      </c>
      <c r="E284" s="515">
        <v>88.816686</v>
      </c>
      <c r="F284" s="515"/>
      <c r="G284" s="515" t="e">
        <f t="shared" ref="G284:G287" si="299">SUM(H284:I284)</f>
        <v>#VALUE!</v>
      </c>
      <c r="H284" s="515" t="e">
        <f>SUMIFS('[16]基本支出总表（开）'!P:P,'[16]基本支出总表（开）'!C:C,MID(A284,4,7))</f>
        <v>#VALUE!</v>
      </c>
      <c r="I284" s="515" t="e">
        <f>SUMIFS('[16]项目支出总表（开）'!Y:Y,'[16]项目支出总表（开）'!C:C,MID(A284,4,7))+SUMIFS('[16]项目支出总表（开）'!Z:Z,'[16]项目支出总表（开）'!C:C,MID(A284,4,7))</f>
        <v>#VALUE!</v>
      </c>
      <c r="J284" s="524" t="e">
        <f t="shared" si="289"/>
        <v>#VALUE!</v>
      </c>
      <c r="K284" s="524" t="e">
        <f t="shared" si="290"/>
        <v>#VALUE!</v>
      </c>
      <c r="L284" s="524" t="str">
        <f t="shared" si="291"/>
        <v/>
      </c>
      <c r="O284" s="153"/>
      <c r="S284" s="515" t="e">
        <f t="shared" ref="S284:S287" si="300">SUM(T284:U284)</f>
        <v>#VALUE!</v>
      </c>
      <c r="T284" s="515" t="e">
        <f>SUMIFS('[16]基本支出总表（开）'!M:M,'[16]基本支出总表（开）'!C:C,MID(TRIM(A284),2,7))</f>
        <v>#VALUE!</v>
      </c>
      <c r="U284" s="515" t="e">
        <f>SUMIFS('[16]项目支出总表（开）'!V:V,'[16]项目支出总表（开）'!C:C,MID(TRIM(A284),2,7))</f>
        <v>#VALUE!</v>
      </c>
    </row>
    <row r="285" s="1" customFormat="1" ht="21.75" customHeight="1" spans="1:21">
      <c r="A285" s="514" t="s">
        <v>338</v>
      </c>
      <c r="B285" s="515">
        <v>68</v>
      </c>
      <c r="C285" s="515"/>
      <c r="D285" s="515"/>
      <c r="E285" s="515"/>
      <c r="F285" s="515">
        <v>68</v>
      </c>
      <c r="G285" s="515" t="e">
        <f t="shared" si="299"/>
        <v>#VALUE!</v>
      </c>
      <c r="H285" s="515" t="e">
        <f>SUMIFS('[16]基本支出总表（开）'!P:P,'[16]基本支出总表（开）'!C:C,MID(A285,4,7))</f>
        <v>#VALUE!</v>
      </c>
      <c r="I285" s="515" t="e">
        <f>SUMIFS('[16]项目支出总表（开）'!Y:Y,'[16]项目支出总表（开）'!C:C,MID(A285,4,7))+SUMIFS('[16]项目支出总表（开）'!Z:Z,'[16]项目支出总表（开）'!C:C,MID(A285,4,7))</f>
        <v>#VALUE!</v>
      </c>
      <c r="J285" s="524" t="e">
        <f t="shared" si="289"/>
        <v>#VALUE!</v>
      </c>
      <c r="K285" s="524" t="str">
        <f t="shared" si="290"/>
        <v/>
      </c>
      <c r="L285" s="524" t="e">
        <f t="shared" si="291"/>
        <v>#VALUE!</v>
      </c>
      <c r="O285" s="153"/>
      <c r="S285" s="515" t="e">
        <f t="shared" si="300"/>
        <v>#VALUE!</v>
      </c>
      <c r="T285" s="515" t="e">
        <f>SUMIFS('[16]基本支出总表（开）'!M:M,'[16]基本支出总表（开）'!C:C,MID(TRIM(A285),2,7))</f>
        <v>#VALUE!</v>
      </c>
      <c r="U285" s="515" t="e">
        <f>SUMIFS('[16]项目支出总表（开）'!V:V,'[16]项目支出总表（开）'!C:C,MID(TRIM(A285),2,7))</f>
        <v>#VALUE!</v>
      </c>
    </row>
    <row r="286" s="1" customFormat="1" ht="21.75" customHeight="1" spans="1:21">
      <c r="A286" s="514" t="s">
        <v>339</v>
      </c>
      <c r="B286" s="515">
        <v>450</v>
      </c>
      <c r="C286" s="515"/>
      <c r="D286" s="515"/>
      <c r="E286" s="515"/>
      <c r="F286" s="515">
        <v>450</v>
      </c>
      <c r="G286" s="515" t="e">
        <f t="shared" si="299"/>
        <v>#VALUE!</v>
      </c>
      <c r="H286" s="515" t="e">
        <f>SUMIFS('[16]基本支出总表（开）'!P:P,'[16]基本支出总表（开）'!C:C,MID(A286,4,7))</f>
        <v>#VALUE!</v>
      </c>
      <c r="I286" s="515" t="e">
        <f>SUMIFS('[16]项目支出总表（开）'!Y:Y,'[16]项目支出总表（开）'!C:C,MID(A286,4,7))+SUMIFS('[16]项目支出总表（开）'!Z:Z,'[16]项目支出总表（开）'!C:C,MID(A286,4,7))</f>
        <v>#VALUE!</v>
      </c>
      <c r="J286" s="524" t="e">
        <f t="shared" si="289"/>
        <v>#VALUE!</v>
      </c>
      <c r="K286" s="524" t="str">
        <f t="shared" si="290"/>
        <v/>
      </c>
      <c r="L286" s="524" t="e">
        <f t="shared" si="291"/>
        <v>#VALUE!</v>
      </c>
      <c r="O286" s="153"/>
      <c r="S286" s="515" t="e">
        <f t="shared" si="300"/>
        <v>#VALUE!</v>
      </c>
      <c r="T286" s="515" t="e">
        <f>SUMIFS('[16]基本支出总表（开）'!M:M,'[16]基本支出总表（开）'!C:C,MID(TRIM(A286),2,7))</f>
        <v>#VALUE!</v>
      </c>
      <c r="U286" s="515" t="e">
        <f>SUMIFS('[16]项目支出总表（开）'!V:V,'[16]项目支出总表（开）'!C:C,MID(TRIM(A286),2,7))</f>
        <v>#VALUE!</v>
      </c>
    </row>
    <row r="287" s="1" customFormat="1" ht="21.75" customHeight="1" spans="1:21">
      <c r="A287" s="516" t="s">
        <v>340</v>
      </c>
      <c r="B287" s="515"/>
      <c r="C287" s="515"/>
      <c r="D287" s="515"/>
      <c r="E287" s="515"/>
      <c r="F287" s="515"/>
      <c r="G287" s="515" t="e">
        <f t="shared" si="299"/>
        <v>#VALUE!</v>
      </c>
      <c r="H287" s="515" t="e">
        <f>SUMIFS('[16]基本支出总表（开）'!P:P,'[16]基本支出总表（开）'!C:C,MID(A287,4,7))</f>
        <v>#VALUE!</v>
      </c>
      <c r="I287" s="515" t="e">
        <f>SUMIFS('[16]项目支出总表（开）'!Y:Y,'[16]项目支出总表（开）'!C:C,MID(A287,4,7))+SUMIFS('[16]项目支出总表（开）'!Z:Z,'[16]项目支出总表（开）'!C:C,MID(A287,4,7))</f>
        <v>#VALUE!</v>
      </c>
      <c r="J287" s="524" t="str">
        <f t="shared" si="289"/>
        <v/>
      </c>
      <c r="K287" s="524" t="str">
        <f t="shared" si="290"/>
        <v/>
      </c>
      <c r="L287" s="524" t="str">
        <f t="shared" si="291"/>
        <v/>
      </c>
      <c r="O287" s="153"/>
      <c r="S287" s="515" t="e">
        <f t="shared" si="300"/>
        <v>#VALUE!</v>
      </c>
      <c r="T287" s="515" t="e">
        <f>SUMIFS('[16]基本支出总表（开）'!M:M,'[16]基本支出总表（开）'!C:C,MID(TRIM(A287),2,7))</f>
        <v>#VALUE!</v>
      </c>
      <c r="U287" s="515" t="e">
        <f>SUMIFS('[16]项目支出总表（开）'!V:V,'[16]项目支出总表（开）'!C:C,MID(TRIM(A287),2,7))</f>
        <v>#VALUE!</v>
      </c>
    </row>
    <row r="288" s="1" customFormat="1" ht="21.75" customHeight="1" spans="1:21">
      <c r="A288" s="518" t="s">
        <v>341</v>
      </c>
      <c r="B288" s="511">
        <f t="shared" ref="B288:I288" si="301">B289+B292</f>
        <v>0</v>
      </c>
      <c r="C288" s="511">
        <f t="shared" si="301"/>
        <v>0</v>
      </c>
      <c r="D288" s="511">
        <f t="shared" si="301"/>
        <v>0</v>
      </c>
      <c r="E288" s="511">
        <f t="shared" si="301"/>
        <v>0</v>
      </c>
      <c r="F288" s="511">
        <f t="shared" si="301"/>
        <v>0</v>
      </c>
      <c r="G288" s="511" t="e">
        <f t="shared" si="301"/>
        <v>#VALUE!</v>
      </c>
      <c r="H288" s="511" t="e">
        <f t="shared" si="301"/>
        <v>#VALUE!</v>
      </c>
      <c r="I288" s="511" t="e">
        <f t="shared" si="301"/>
        <v>#VALUE!</v>
      </c>
      <c r="J288" s="522" t="str">
        <f t="shared" si="289"/>
        <v/>
      </c>
      <c r="K288" s="522" t="str">
        <f t="shared" si="290"/>
        <v/>
      </c>
      <c r="L288" s="522" t="str">
        <f t="shared" si="291"/>
        <v/>
      </c>
      <c r="O288" s="153"/>
      <c r="S288" s="511" t="e">
        <f t="shared" ref="S288:U288" si="302">S289+S292</f>
        <v>#VALUE!</v>
      </c>
      <c r="T288" s="511" t="e">
        <f t="shared" si="302"/>
        <v>#VALUE!</v>
      </c>
      <c r="U288" s="511" t="e">
        <f t="shared" si="302"/>
        <v>#VALUE!</v>
      </c>
    </row>
    <row r="289" s="1" customFormat="1" ht="21.75" customHeight="1" spans="1:21">
      <c r="A289" s="517" t="s">
        <v>342</v>
      </c>
      <c r="B289" s="513">
        <f t="shared" ref="B289:I289" si="303">SUM(B290:B291)</f>
        <v>0</v>
      </c>
      <c r="C289" s="513">
        <f t="shared" si="303"/>
        <v>0</v>
      </c>
      <c r="D289" s="513">
        <f t="shared" si="303"/>
        <v>0</v>
      </c>
      <c r="E289" s="513">
        <f t="shared" si="303"/>
        <v>0</v>
      </c>
      <c r="F289" s="513">
        <f t="shared" si="303"/>
        <v>0</v>
      </c>
      <c r="G289" s="513" t="e">
        <f t="shared" si="303"/>
        <v>#VALUE!</v>
      </c>
      <c r="H289" s="513" t="e">
        <f t="shared" si="303"/>
        <v>#VALUE!</v>
      </c>
      <c r="I289" s="513" t="e">
        <f t="shared" si="303"/>
        <v>#VALUE!</v>
      </c>
      <c r="J289" s="523" t="str">
        <f t="shared" si="289"/>
        <v/>
      </c>
      <c r="K289" s="523" t="str">
        <f t="shared" si="290"/>
        <v/>
      </c>
      <c r="L289" s="523" t="str">
        <f t="shared" si="291"/>
        <v/>
      </c>
      <c r="O289" s="153"/>
      <c r="S289" s="513" t="e">
        <f t="shared" ref="S289:U289" si="304">SUM(S290:S291)</f>
        <v>#VALUE!</v>
      </c>
      <c r="T289" s="513" t="e">
        <f t="shared" si="304"/>
        <v>#VALUE!</v>
      </c>
      <c r="U289" s="513" t="e">
        <f t="shared" si="304"/>
        <v>#VALUE!</v>
      </c>
    </row>
    <row r="290" s="1" customFormat="1" ht="21.75" customHeight="1" spans="1:21">
      <c r="A290" s="516" t="s">
        <v>343</v>
      </c>
      <c r="B290" s="515"/>
      <c r="C290" s="515"/>
      <c r="D290" s="515"/>
      <c r="E290" s="515"/>
      <c r="F290" s="515"/>
      <c r="G290" s="515" t="e">
        <f t="shared" ref="G290:G293" si="305">SUM(H290:I290)</f>
        <v>#VALUE!</v>
      </c>
      <c r="H290" s="515" t="e">
        <f>SUMIFS('[16]基本支出总表（开）'!P:P,'[16]基本支出总表（开）'!C:C,MID(A290,4,7))</f>
        <v>#VALUE!</v>
      </c>
      <c r="I290" s="515" t="e">
        <f>SUMIFS('[16]项目支出总表（开）'!Y:Y,'[16]项目支出总表（开）'!C:C,MID(A290,4,7))+SUMIFS('[16]项目支出总表（开）'!Z:Z,'[16]项目支出总表（开）'!C:C,MID(A290,4,7))</f>
        <v>#VALUE!</v>
      </c>
      <c r="J290" s="524" t="str">
        <f t="shared" si="289"/>
        <v/>
      </c>
      <c r="K290" s="524" t="str">
        <f t="shared" si="290"/>
        <v/>
      </c>
      <c r="L290" s="524" t="str">
        <f t="shared" si="291"/>
        <v/>
      </c>
      <c r="O290" s="153"/>
      <c r="S290" s="515" t="e">
        <f t="shared" ref="S290:S293" si="306">SUM(T290:U290)</f>
        <v>#VALUE!</v>
      </c>
      <c r="T290" s="515" t="e">
        <f>SUMIFS('[16]基本支出总表（开）'!M:M,'[16]基本支出总表（开）'!C:C,MID(TRIM(A290),2,7))</f>
        <v>#VALUE!</v>
      </c>
      <c r="U290" s="515" t="e">
        <f>SUMIFS('[16]项目支出总表（开）'!V:V,'[16]项目支出总表（开）'!C:C,MID(TRIM(A290),2,7))</f>
        <v>#VALUE!</v>
      </c>
    </row>
    <row r="291" s="1" customFormat="1" ht="21.75" customHeight="1" spans="1:21">
      <c r="A291" s="516" t="s">
        <v>344</v>
      </c>
      <c r="B291" s="515"/>
      <c r="C291" s="515"/>
      <c r="D291" s="515"/>
      <c r="E291" s="515"/>
      <c r="F291" s="515"/>
      <c r="G291" s="515" t="e">
        <f t="shared" si="305"/>
        <v>#VALUE!</v>
      </c>
      <c r="H291" s="515" t="e">
        <f>SUMIFS('[16]基本支出总表（开）'!P:P,'[16]基本支出总表（开）'!C:C,MID(A291,4,7))</f>
        <v>#VALUE!</v>
      </c>
      <c r="I291" s="515" t="e">
        <f>SUMIFS('[16]项目支出总表（开）'!Y:Y,'[16]项目支出总表（开）'!C:C,MID(A291,4,7))+SUMIFS('[16]项目支出总表（开）'!Z:Z,'[16]项目支出总表（开）'!C:C,MID(A291,4,7))</f>
        <v>#VALUE!</v>
      </c>
      <c r="J291" s="524" t="str">
        <f t="shared" si="289"/>
        <v/>
      </c>
      <c r="K291" s="524" t="str">
        <f t="shared" si="290"/>
        <v/>
      </c>
      <c r="L291" s="524" t="str">
        <f t="shared" si="291"/>
        <v/>
      </c>
      <c r="O291" s="153"/>
      <c r="S291" s="515" t="e">
        <f t="shared" si="306"/>
        <v>#VALUE!</v>
      </c>
      <c r="T291" s="515" t="e">
        <f>SUMIFS('[16]基本支出总表（开）'!M:M,'[16]基本支出总表（开）'!C:C,MID(TRIM(A291),2,7))</f>
        <v>#VALUE!</v>
      </c>
      <c r="U291" s="515" t="e">
        <f>SUMIFS('[16]项目支出总表（开）'!V:V,'[16]项目支出总表（开）'!C:C,MID(TRIM(A291),2,7))</f>
        <v>#VALUE!</v>
      </c>
    </row>
    <row r="292" s="1" customFormat="1" ht="21.75" customHeight="1" spans="1:21">
      <c r="A292" s="517" t="s">
        <v>345</v>
      </c>
      <c r="B292" s="513">
        <f t="shared" ref="B292:I292" si="307">SUM(B293)</f>
        <v>0</v>
      </c>
      <c r="C292" s="513">
        <f t="shared" si="307"/>
        <v>0</v>
      </c>
      <c r="D292" s="513">
        <f t="shared" si="307"/>
        <v>0</v>
      </c>
      <c r="E292" s="513">
        <f t="shared" si="307"/>
        <v>0</v>
      </c>
      <c r="F292" s="513">
        <f t="shared" si="307"/>
        <v>0</v>
      </c>
      <c r="G292" s="513" t="e">
        <f t="shared" si="307"/>
        <v>#VALUE!</v>
      </c>
      <c r="H292" s="513" t="e">
        <f t="shared" si="307"/>
        <v>#VALUE!</v>
      </c>
      <c r="I292" s="513" t="e">
        <f t="shared" si="307"/>
        <v>#VALUE!</v>
      </c>
      <c r="J292" s="523" t="str">
        <f t="shared" si="289"/>
        <v/>
      </c>
      <c r="K292" s="523" t="str">
        <f t="shared" si="290"/>
        <v/>
      </c>
      <c r="L292" s="523" t="str">
        <f t="shared" si="291"/>
        <v/>
      </c>
      <c r="O292" s="153"/>
      <c r="S292" s="513" t="e">
        <f t="shared" ref="S292:U292" si="308">SUM(S293)</f>
        <v>#VALUE!</v>
      </c>
      <c r="T292" s="513" t="e">
        <f t="shared" si="308"/>
        <v>#VALUE!</v>
      </c>
      <c r="U292" s="513" t="e">
        <f t="shared" si="308"/>
        <v>#VALUE!</v>
      </c>
    </row>
    <row r="293" s="1" customFormat="1" ht="21.75" customHeight="1" spans="1:21">
      <c r="A293" s="516" t="s">
        <v>346</v>
      </c>
      <c r="B293" s="515"/>
      <c r="C293" s="515"/>
      <c r="D293" s="515"/>
      <c r="E293" s="515"/>
      <c r="F293" s="515"/>
      <c r="G293" s="515" t="e">
        <f t="shared" si="305"/>
        <v>#VALUE!</v>
      </c>
      <c r="H293" s="515" t="e">
        <f>SUMIFS('[16]基本支出总表（开）'!P:P,'[16]基本支出总表（开）'!C:C,MID(A293,4,7))</f>
        <v>#VALUE!</v>
      </c>
      <c r="I293" s="515" t="e">
        <f>SUMIFS('[16]项目支出总表（开）'!Y:Y,'[16]项目支出总表（开）'!C:C,MID(A293,4,7))+SUMIFS('[16]项目支出总表（开）'!Z:Z,'[16]项目支出总表（开）'!C:C,MID(A293,4,7))</f>
        <v>#VALUE!</v>
      </c>
      <c r="J293" s="524" t="str">
        <f t="shared" si="289"/>
        <v/>
      </c>
      <c r="K293" s="524" t="str">
        <f t="shared" si="290"/>
        <v/>
      </c>
      <c r="L293" s="524" t="str">
        <f t="shared" si="291"/>
        <v/>
      </c>
      <c r="O293" s="153"/>
      <c r="S293" s="515" t="e">
        <f t="shared" si="306"/>
        <v>#VALUE!</v>
      </c>
      <c r="T293" s="515" t="e">
        <f>SUMIFS('[16]基本支出总表（开）'!M:M,'[16]基本支出总表（开）'!C:C,MID(TRIM(A293),2,7))</f>
        <v>#VALUE!</v>
      </c>
      <c r="U293" s="515" t="e">
        <f>SUMIFS('[16]项目支出总表（开）'!V:V,'[16]项目支出总表（开）'!C:C,MID(TRIM(A293),2,7))</f>
        <v>#VALUE!</v>
      </c>
    </row>
    <row r="294" s="1" customFormat="1" ht="21.75" customHeight="1" spans="1:21">
      <c r="A294" s="510" t="s">
        <v>347</v>
      </c>
      <c r="B294" s="511">
        <f t="shared" ref="B294:I294" si="309">B295+B303+B308+B305+B310</f>
        <v>1431.996375</v>
      </c>
      <c r="C294" s="511">
        <f t="shared" si="309"/>
        <v>210.396375</v>
      </c>
      <c r="D294" s="511">
        <f t="shared" si="309"/>
        <v>182.996233</v>
      </c>
      <c r="E294" s="511">
        <f t="shared" si="309"/>
        <v>27.400142</v>
      </c>
      <c r="F294" s="511">
        <f t="shared" si="309"/>
        <v>1221.6</v>
      </c>
      <c r="G294" s="511" t="e">
        <f t="shared" si="309"/>
        <v>#VALUE!</v>
      </c>
      <c r="H294" s="511" t="e">
        <f t="shared" si="309"/>
        <v>#VALUE!</v>
      </c>
      <c r="I294" s="511" t="e">
        <f t="shared" si="309"/>
        <v>#VALUE!</v>
      </c>
      <c r="J294" s="522" t="e">
        <f t="shared" si="289"/>
        <v>#VALUE!</v>
      </c>
      <c r="K294" s="522" t="e">
        <f t="shared" si="290"/>
        <v>#VALUE!</v>
      </c>
      <c r="L294" s="522" t="e">
        <f t="shared" si="291"/>
        <v>#VALUE!</v>
      </c>
      <c r="O294" s="153"/>
      <c r="S294" s="511" t="e">
        <f t="shared" ref="S294:U294" si="310">S295+S303+S308+S305+S310</f>
        <v>#VALUE!</v>
      </c>
      <c r="T294" s="511" t="e">
        <f t="shared" si="310"/>
        <v>#VALUE!</v>
      </c>
      <c r="U294" s="511" t="e">
        <f t="shared" si="310"/>
        <v>#VALUE!</v>
      </c>
    </row>
    <row r="295" s="1" customFormat="1" ht="21.75" customHeight="1" spans="1:21">
      <c r="A295" s="512" t="s">
        <v>348</v>
      </c>
      <c r="B295" s="513">
        <f t="shared" ref="B295:I295" si="311">SUM(B296:B302)</f>
        <v>697.996375</v>
      </c>
      <c r="C295" s="513">
        <f t="shared" si="311"/>
        <v>210.396375</v>
      </c>
      <c r="D295" s="513">
        <f t="shared" si="311"/>
        <v>182.996233</v>
      </c>
      <c r="E295" s="513">
        <f t="shared" si="311"/>
        <v>27.400142</v>
      </c>
      <c r="F295" s="513">
        <f t="shared" si="311"/>
        <v>487.6</v>
      </c>
      <c r="G295" s="513" t="e">
        <f t="shared" si="311"/>
        <v>#VALUE!</v>
      </c>
      <c r="H295" s="513" t="e">
        <f t="shared" si="311"/>
        <v>#VALUE!</v>
      </c>
      <c r="I295" s="513" t="e">
        <f t="shared" si="311"/>
        <v>#VALUE!</v>
      </c>
      <c r="J295" s="523" t="e">
        <f t="shared" si="289"/>
        <v>#VALUE!</v>
      </c>
      <c r="K295" s="523" t="e">
        <f t="shared" si="290"/>
        <v>#VALUE!</v>
      </c>
      <c r="L295" s="523" t="e">
        <f t="shared" si="291"/>
        <v>#VALUE!</v>
      </c>
      <c r="O295" s="153"/>
      <c r="S295" s="513" t="e">
        <f t="shared" ref="S295:U295" si="312">SUM(S296:S302)</f>
        <v>#VALUE!</v>
      </c>
      <c r="T295" s="513" t="e">
        <f t="shared" si="312"/>
        <v>#VALUE!</v>
      </c>
      <c r="U295" s="513" t="e">
        <f t="shared" si="312"/>
        <v>#VALUE!</v>
      </c>
    </row>
    <row r="296" s="1" customFormat="1" ht="21.75" customHeight="1" spans="1:21">
      <c r="A296" s="514" t="s">
        <v>349</v>
      </c>
      <c r="B296" s="515">
        <v>210.396375</v>
      </c>
      <c r="C296" s="515">
        <v>210.396375</v>
      </c>
      <c r="D296" s="515">
        <v>182.996233</v>
      </c>
      <c r="E296" s="515">
        <v>27.400142</v>
      </c>
      <c r="F296" s="515"/>
      <c r="G296" s="515" t="e">
        <f t="shared" ref="G296:G302" si="313">SUM(H296:I296)</f>
        <v>#VALUE!</v>
      </c>
      <c r="H296" s="515" t="e">
        <f>SUMIFS('[16]基本支出总表（开）'!P:P,'[16]基本支出总表（开）'!C:C,MID(A296,4,7))</f>
        <v>#VALUE!</v>
      </c>
      <c r="I296" s="515" t="e">
        <f>SUMIFS('[16]项目支出总表（开）'!Y:Y,'[16]项目支出总表（开）'!C:C,MID(A296,4,7))+SUMIFS('[16]项目支出总表（开）'!Z:Z,'[16]项目支出总表（开）'!C:C,MID(A296,4,7))</f>
        <v>#VALUE!</v>
      </c>
      <c r="J296" s="524" t="e">
        <f t="shared" si="289"/>
        <v>#VALUE!</v>
      </c>
      <c r="K296" s="524" t="e">
        <f t="shared" si="290"/>
        <v>#VALUE!</v>
      </c>
      <c r="L296" s="524" t="str">
        <f t="shared" si="291"/>
        <v/>
      </c>
      <c r="O296" s="153"/>
      <c r="S296" s="515" t="e">
        <f t="shared" ref="S296:S302" si="314">SUM(T296:U296)</f>
        <v>#VALUE!</v>
      </c>
      <c r="T296" s="515" t="e">
        <f>SUMIFS('[16]基本支出总表（开）'!M:M,'[16]基本支出总表（开）'!C:C,MID(TRIM(A296),2,7))</f>
        <v>#VALUE!</v>
      </c>
      <c r="U296" s="515" t="e">
        <f>SUMIFS('[16]项目支出总表（开）'!V:V,'[16]项目支出总表（开）'!C:C,MID(TRIM(A296),2,7))</f>
        <v>#VALUE!</v>
      </c>
    </row>
    <row r="297" s="1" customFormat="1" ht="21.75" customHeight="1" spans="1:21">
      <c r="A297" s="514" t="s">
        <v>350</v>
      </c>
      <c r="B297" s="515">
        <v>2</v>
      </c>
      <c r="C297" s="515"/>
      <c r="D297" s="515"/>
      <c r="E297" s="515"/>
      <c r="F297" s="515">
        <v>2</v>
      </c>
      <c r="G297" s="515" t="e">
        <f t="shared" si="313"/>
        <v>#VALUE!</v>
      </c>
      <c r="H297" s="515" t="e">
        <f>SUMIFS('[16]基本支出总表（开）'!P:P,'[16]基本支出总表（开）'!C:C,MID(A297,4,7))</f>
        <v>#VALUE!</v>
      </c>
      <c r="I297" s="515" t="e">
        <f>SUMIFS('[16]项目支出总表（开）'!Y:Y,'[16]项目支出总表（开）'!C:C,MID(A297,4,7))+SUMIFS('[16]项目支出总表（开）'!Z:Z,'[16]项目支出总表（开）'!C:C,MID(A297,4,7))</f>
        <v>#VALUE!</v>
      </c>
      <c r="J297" s="524" t="e">
        <f t="shared" si="289"/>
        <v>#VALUE!</v>
      </c>
      <c r="K297" s="524" t="str">
        <f t="shared" si="290"/>
        <v/>
      </c>
      <c r="L297" s="524" t="e">
        <f t="shared" si="291"/>
        <v>#VALUE!</v>
      </c>
      <c r="O297" s="153"/>
      <c r="S297" s="515" t="e">
        <f t="shared" si="314"/>
        <v>#VALUE!</v>
      </c>
      <c r="T297" s="515" t="e">
        <f>SUMIFS('[16]基本支出总表（开）'!M:M,'[16]基本支出总表（开）'!C:C,MID(TRIM(A297),2,7))</f>
        <v>#VALUE!</v>
      </c>
      <c r="U297" s="515" t="e">
        <f>SUMIFS('[16]项目支出总表（开）'!V:V,'[16]项目支出总表（开）'!C:C,MID(TRIM(A297),2,7))</f>
        <v>#VALUE!</v>
      </c>
    </row>
    <row r="298" s="1" customFormat="1" ht="21.75" customHeight="1" spans="1:21">
      <c r="A298" s="514" t="s">
        <v>351</v>
      </c>
      <c r="B298" s="515">
        <v>30</v>
      </c>
      <c r="C298" s="515"/>
      <c r="D298" s="515"/>
      <c r="E298" s="515"/>
      <c r="F298" s="515">
        <v>30</v>
      </c>
      <c r="G298" s="515" t="e">
        <f t="shared" si="313"/>
        <v>#VALUE!</v>
      </c>
      <c r="H298" s="515" t="e">
        <f>SUMIFS('[16]基本支出总表（开）'!P:P,'[16]基本支出总表（开）'!C:C,MID(A298,4,7))</f>
        <v>#VALUE!</v>
      </c>
      <c r="I298" s="515" t="e">
        <f>SUMIFS('[16]项目支出总表（开）'!Y:Y,'[16]项目支出总表（开）'!C:C,MID(A298,4,7))+SUMIFS('[16]项目支出总表（开）'!Z:Z,'[16]项目支出总表（开）'!C:C,MID(A298,4,7))</f>
        <v>#VALUE!</v>
      </c>
      <c r="J298" s="524" t="e">
        <f t="shared" si="289"/>
        <v>#VALUE!</v>
      </c>
      <c r="K298" s="524" t="str">
        <f t="shared" si="290"/>
        <v/>
      </c>
      <c r="L298" s="524" t="e">
        <f t="shared" si="291"/>
        <v>#VALUE!</v>
      </c>
      <c r="O298" s="153"/>
      <c r="S298" s="515" t="e">
        <f t="shared" si="314"/>
        <v>#VALUE!</v>
      </c>
      <c r="T298" s="515" t="e">
        <f>SUMIFS('[16]基本支出总表（开）'!M:M,'[16]基本支出总表（开）'!C:C,MID(TRIM(A298),2,7))</f>
        <v>#VALUE!</v>
      </c>
      <c r="U298" s="515" t="e">
        <f>SUMIFS('[16]项目支出总表（开）'!V:V,'[16]项目支出总表（开）'!C:C,MID(TRIM(A298),2,7))</f>
        <v>#VALUE!</v>
      </c>
    </row>
    <row r="299" s="1" customFormat="1" ht="21.75" customHeight="1" spans="1:21">
      <c r="A299" s="514" t="s">
        <v>352</v>
      </c>
      <c r="B299" s="515">
        <v>365.6</v>
      </c>
      <c r="C299" s="515"/>
      <c r="D299" s="515"/>
      <c r="E299" s="515"/>
      <c r="F299" s="515">
        <v>365.6</v>
      </c>
      <c r="G299" s="515" t="e">
        <f t="shared" si="313"/>
        <v>#VALUE!</v>
      </c>
      <c r="H299" s="515" t="e">
        <f>SUMIFS('[16]基本支出总表（开）'!P:P,'[16]基本支出总表（开）'!C:C,MID(A299,4,7))</f>
        <v>#VALUE!</v>
      </c>
      <c r="I299" s="515" t="e">
        <f>SUMIFS('[16]项目支出总表（开）'!Y:Y,'[16]项目支出总表（开）'!C:C,MID(A299,4,7))+SUMIFS('[16]项目支出总表（开）'!Z:Z,'[16]项目支出总表（开）'!C:C,MID(A299,4,7))</f>
        <v>#VALUE!</v>
      </c>
      <c r="J299" s="524" t="e">
        <f t="shared" si="289"/>
        <v>#VALUE!</v>
      </c>
      <c r="K299" s="524" t="str">
        <f t="shared" si="290"/>
        <v/>
      </c>
      <c r="L299" s="524" t="e">
        <f t="shared" si="291"/>
        <v>#VALUE!</v>
      </c>
      <c r="O299" s="153"/>
      <c r="S299" s="515" t="e">
        <f t="shared" si="314"/>
        <v>#VALUE!</v>
      </c>
      <c r="T299" s="515" t="e">
        <f>SUMIFS('[16]基本支出总表（开）'!M:M,'[16]基本支出总表（开）'!C:C,MID(TRIM(A299),2,7))</f>
        <v>#VALUE!</v>
      </c>
      <c r="U299" s="515" t="e">
        <f>SUMIFS('[16]项目支出总表（开）'!V:V,'[16]项目支出总表（开）'!C:C,MID(TRIM(A299),2,7))</f>
        <v>#VALUE!</v>
      </c>
    </row>
    <row r="300" s="1" customFormat="1" ht="21.75" customHeight="1" spans="1:21">
      <c r="A300" s="514" t="s">
        <v>353</v>
      </c>
      <c r="B300" s="515">
        <v>20</v>
      </c>
      <c r="C300" s="515"/>
      <c r="D300" s="515"/>
      <c r="E300" s="515"/>
      <c r="F300" s="515">
        <v>20</v>
      </c>
      <c r="G300" s="515" t="e">
        <f t="shared" si="313"/>
        <v>#VALUE!</v>
      </c>
      <c r="H300" s="515" t="e">
        <f>SUMIFS('[16]基本支出总表（开）'!P:P,'[16]基本支出总表（开）'!C:C,MID(A300,4,7))</f>
        <v>#VALUE!</v>
      </c>
      <c r="I300" s="515" t="e">
        <f>SUMIFS('[16]项目支出总表（开）'!Y:Y,'[16]项目支出总表（开）'!C:C,MID(A300,4,7))+SUMIFS('[16]项目支出总表（开）'!Z:Z,'[16]项目支出总表（开）'!C:C,MID(A300,4,7))</f>
        <v>#VALUE!</v>
      </c>
      <c r="J300" s="524" t="e">
        <f t="shared" si="289"/>
        <v>#VALUE!</v>
      </c>
      <c r="K300" s="524" t="str">
        <f t="shared" si="290"/>
        <v/>
      </c>
      <c r="L300" s="524" t="e">
        <f t="shared" si="291"/>
        <v>#VALUE!</v>
      </c>
      <c r="O300" s="153"/>
      <c r="S300" s="515" t="e">
        <f t="shared" si="314"/>
        <v>#VALUE!</v>
      </c>
      <c r="T300" s="515" t="e">
        <f>SUMIFS('[16]基本支出总表（开）'!M:M,'[16]基本支出总表（开）'!C:C,MID(TRIM(A300),2,7))</f>
        <v>#VALUE!</v>
      </c>
      <c r="U300" s="515" t="e">
        <f>SUMIFS('[16]项目支出总表（开）'!V:V,'[16]项目支出总表（开）'!C:C,MID(TRIM(A300),2,7))</f>
        <v>#VALUE!</v>
      </c>
    </row>
    <row r="301" s="1" customFormat="1" ht="21.75" customHeight="1" spans="1:21">
      <c r="A301" s="514" t="s">
        <v>354</v>
      </c>
      <c r="B301" s="515">
        <v>20</v>
      </c>
      <c r="C301" s="515"/>
      <c r="D301" s="515"/>
      <c r="E301" s="515"/>
      <c r="F301" s="515">
        <v>20</v>
      </c>
      <c r="G301" s="515" t="e">
        <f t="shared" si="313"/>
        <v>#VALUE!</v>
      </c>
      <c r="H301" s="515" t="e">
        <f>SUMIFS('[16]基本支出总表（开）'!P:P,'[16]基本支出总表（开）'!C:C,MID(A301,4,7))</f>
        <v>#VALUE!</v>
      </c>
      <c r="I301" s="515" t="e">
        <f>SUMIFS('[16]项目支出总表（开）'!Y:Y,'[16]项目支出总表（开）'!C:C,MID(A301,4,7))+SUMIFS('[16]项目支出总表（开）'!Z:Z,'[16]项目支出总表（开）'!C:C,MID(A301,4,7))</f>
        <v>#VALUE!</v>
      </c>
      <c r="J301" s="524" t="e">
        <f t="shared" si="289"/>
        <v>#VALUE!</v>
      </c>
      <c r="K301" s="524" t="str">
        <f t="shared" si="290"/>
        <v/>
      </c>
      <c r="L301" s="524" t="e">
        <f t="shared" si="291"/>
        <v>#VALUE!</v>
      </c>
      <c r="O301" s="153"/>
      <c r="S301" s="515" t="e">
        <f t="shared" si="314"/>
        <v>#VALUE!</v>
      </c>
      <c r="T301" s="515" t="e">
        <f>SUMIFS('[16]基本支出总表（开）'!M:M,'[16]基本支出总表（开）'!C:C,MID(TRIM(A301),2,7))</f>
        <v>#VALUE!</v>
      </c>
      <c r="U301" s="515" t="e">
        <f>SUMIFS('[16]项目支出总表（开）'!V:V,'[16]项目支出总表（开）'!C:C,MID(TRIM(A301),2,7))</f>
        <v>#VALUE!</v>
      </c>
    </row>
    <row r="302" s="1" customFormat="1" ht="21.75" customHeight="1" spans="1:21">
      <c r="A302" s="514" t="s">
        <v>355</v>
      </c>
      <c r="B302" s="515">
        <v>50</v>
      </c>
      <c r="C302" s="515"/>
      <c r="D302" s="515"/>
      <c r="E302" s="515"/>
      <c r="F302" s="515">
        <v>50</v>
      </c>
      <c r="G302" s="515" t="e">
        <f t="shared" si="313"/>
        <v>#VALUE!</v>
      </c>
      <c r="H302" s="515" t="e">
        <f>SUMIFS('[16]基本支出总表（开）'!P:P,'[16]基本支出总表（开）'!C:C,MID(A302,4,7))</f>
        <v>#VALUE!</v>
      </c>
      <c r="I302" s="515" t="e">
        <f>SUMIFS('[16]项目支出总表（开）'!Y:Y,'[16]项目支出总表（开）'!C:C,MID(A302,4,7))+SUMIFS('[16]项目支出总表（开）'!Z:Z,'[16]项目支出总表（开）'!C:C,MID(A302,4,7))</f>
        <v>#VALUE!</v>
      </c>
      <c r="J302" s="524" t="e">
        <f t="shared" si="289"/>
        <v>#VALUE!</v>
      </c>
      <c r="K302" s="524" t="str">
        <f t="shared" si="290"/>
        <v/>
      </c>
      <c r="L302" s="524" t="e">
        <f t="shared" si="291"/>
        <v>#VALUE!</v>
      </c>
      <c r="O302" s="153"/>
      <c r="S302" s="515" t="e">
        <f t="shared" si="314"/>
        <v>#VALUE!</v>
      </c>
      <c r="T302" s="515" t="e">
        <f>SUMIFS('[16]基本支出总表（开）'!M:M,'[16]基本支出总表（开）'!C:C,MID(TRIM(A302),2,7))</f>
        <v>#VALUE!</v>
      </c>
      <c r="U302" s="515" t="e">
        <f>SUMIFS('[16]项目支出总表（开）'!V:V,'[16]项目支出总表（开）'!C:C,MID(TRIM(A302),2,7))</f>
        <v>#VALUE!</v>
      </c>
    </row>
    <row r="303" s="1" customFormat="1" ht="21.75" customHeight="1" spans="1:21">
      <c r="A303" s="517" t="s">
        <v>356</v>
      </c>
      <c r="B303" s="513">
        <f t="shared" ref="B303:I303" si="315">SUM(B304)</f>
        <v>734</v>
      </c>
      <c r="C303" s="513">
        <f t="shared" si="315"/>
        <v>0</v>
      </c>
      <c r="D303" s="513">
        <f t="shared" si="315"/>
        <v>0</v>
      </c>
      <c r="E303" s="513">
        <f t="shared" si="315"/>
        <v>0</v>
      </c>
      <c r="F303" s="513">
        <f t="shared" si="315"/>
        <v>734</v>
      </c>
      <c r="G303" s="513" t="e">
        <f t="shared" si="315"/>
        <v>#VALUE!</v>
      </c>
      <c r="H303" s="513" t="e">
        <f t="shared" si="315"/>
        <v>#VALUE!</v>
      </c>
      <c r="I303" s="513" t="e">
        <f t="shared" si="315"/>
        <v>#VALUE!</v>
      </c>
      <c r="J303" s="523" t="e">
        <f t="shared" si="289"/>
        <v>#VALUE!</v>
      </c>
      <c r="K303" s="523" t="str">
        <f t="shared" si="290"/>
        <v/>
      </c>
      <c r="L303" s="523" t="e">
        <f t="shared" si="291"/>
        <v>#VALUE!</v>
      </c>
      <c r="O303" s="153"/>
      <c r="S303" s="513" t="e">
        <f t="shared" ref="S303:U303" si="316">SUM(S304)</f>
        <v>#VALUE!</v>
      </c>
      <c r="T303" s="513" t="e">
        <f t="shared" si="316"/>
        <v>#VALUE!</v>
      </c>
      <c r="U303" s="513" t="e">
        <f t="shared" si="316"/>
        <v>#VALUE!</v>
      </c>
    </row>
    <row r="304" s="1" customFormat="1" ht="21.75" customHeight="1" spans="1:21">
      <c r="A304" s="516" t="s">
        <v>357</v>
      </c>
      <c r="B304" s="515">
        <v>734</v>
      </c>
      <c r="C304" s="515"/>
      <c r="D304" s="515"/>
      <c r="E304" s="515"/>
      <c r="F304" s="515">
        <v>734</v>
      </c>
      <c r="G304" s="515" t="e">
        <f t="shared" ref="G304:G307" si="317">SUM(H304:I304)</f>
        <v>#VALUE!</v>
      </c>
      <c r="H304" s="515" t="e">
        <f>SUMIFS('[16]基本支出总表（开）'!P:P,'[16]基本支出总表（开）'!C:C,MID(A304,4,7))</f>
        <v>#VALUE!</v>
      </c>
      <c r="I304" s="515" t="e">
        <f>SUMIFS('[16]项目支出总表（开）'!Y:Y,'[16]项目支出总表（开）'!C:C,MID(A304,4,7))+SUMIFS('[16]项目支出总表（开）'!Z:Z,'[16]项目支出总表（开）'!C:C,MID(A304,4,7))</f>
        <v>#VALUE!</v>
      </c>
      <c r="J304" s="524" t="e">
        <f t="shared" si="289"/>
        <v>#VALUE!</v>
      </c>
      <c r="K304" s="524" t="str">
        <f t="shared" si="290"/>
        <v/>
      </c>
      <c r="L304" s="524" t="e">
        <f t="shared" si="291"/>
        <v>#VALUE!</v>
      </c>
      <c r="O304" s="153"/>
      <c r="S304" s="515" t="e">
        <f t="shared" ref="S304:S307" si="318">SUM(T304:U304)</f>
        <v>#VALUE!</v>
      </c>
      <c r="T304" s="515" t="e">
        <f>SUMIFS('[16]基本支出总表（开）'!M:M,'[16]基本支出总表（开）'!C:C,MID(TRIM(A304),2,7))</f>
        <v>#VALUE!</v>
      </c>
      <c r="U304" s="515" t="e">
        <f>SUMIFS('[16]项目支出总表（开）'!V:V,'[16]项目支出总表（开）'!C:C,MID(TRIM(A304),2,7))</f>
        <v>#VALUE!</v>
      </c>
    </row>
    <row r="305" s="1" customFormat="1" ht="21.75" customHeight="1" spans="1:21">
      <c r="A305" s="517" t="s">
        <v>358</v>
      </c>
      <c r="B305" s="513">
        <f t="shared" ref="B305:I305" si="319">SUM(B306:B307)</f>
        <v>0</v>
      </c>
      <c r="C305" s="513">
        <f t="shared" si="319"/>
        <v>0</v>
      </c>
      <c r="D305" s="513">
        <f t="shared" si="319"/>
        <v>0</v>
      </c>
      <c r="E305" s="513">
        <f t="shared" si="319"/>
        <v>0</v>
      </c>
      <c r="F305" s="513">
        <f t="shared" si="319"/>
        <v>0</v>
      </c>
      <c r="G305" s="513" t="e">
        <f t="shared" si="319"/>
        <v>#VALUE!</v>
      </c>
      <c r="H305" s="513" t="e">
        <f t="shared" si="319"/>
        <v>#VALUE!</v>
      </c>
      <c r="I305" s="513" t="e">
        <f t="shared" si="319"/>
        <v>#VALUE!</v>
      </c>
      <c r="J305" s="523" t="str">
        <f t="shared" si="289"/>
        <v/>
      </c>
      <c r="K305" s="523" t="str">
        <f t="shared" si="290"/>
        <v/>
      </c>
      <c r="L305" s="523" t="str">
        <f t="shared" si="291"/>
        <v/>
      </c>
      <c r="O305" s="153"/>
      <c r="S305" s="513" t="e">
        <f t="shared" ref="S305:U305" si="320">SUM(S306:S307)</f>
        <v>#VALUE!</v>
      </c>
      <c r="T305" s="513" t="e">
        <f t="shared" si="320"/>
        <v>#VALUE!</v>
      </c>
      <c r="U305" s="513" t="e">
        <f t="shared" si="320"/>
        <v>#VALUE!</v>
      </c>
    </row>
    <row r="306" s="1" customFormat="1" ht="21.75" customHeight="1" spans="1:21">
      <c r="A306" s="516" t="s">
        <v>359</v>
      </c>
      <c r="B306" s="515"/>
      <c r="C306" s="515"/>
      <c r="D306" s="515"/>
      <c r="E306" s="515"/>
      <c r="F306" s="515"/>
      <c r="G306" s="515" t="e">
        <f t="shared" si="317"/>
        <v>#VALUE!</v>
      </c>
      <c r="H306" s="515" t="e">
        <f>SUMIFS('[16]基本支出总表（开）'!P:P,'[16]基本支出总表（开）'!C:C,MID(A306,4,7))</f>
        <v>#VALUE!</v>
      </c>
      <c r="I306" s="515" t="e">
        <f>SUMIFS('[16]项目支出总表（开）'!Y:Y,'[16]项目支出总表（开）'!C:C,MID(A306,4,7))+SUMIFS('[16]项目支出总表（开）'!Z:Z,'[16]项目支出总表（开）'!C:C,MID(A306,4,7))</f>
        <v>#VALUE!</v>
      </c>
      <c r="J306" s="524" t="str">
        <f t="shared" si="289"/>
        <v/>
      </c>
      <c r="K306" s="524" t="str">
        <f t="shared" si="290"/>
        <v/>
      </c>
      <c r="L306" s="524" t="str">
        <f t="shared" si="291"/>
        <v/>
      </c>
      <c r="O306" s="153"/>
      <c r="S306" s="515" t="e">
        <f t="shared" si="318"/>
        <v>#VALUE!</v>
      </c>
      <c r="T306" s="515" t="e">
        <f>SUMIFS('[16]基本支出总表（开）'!M:M,'[16]基本支出总表（开）'!C:C,MID(TRIM(A306),2,7))</f>
        <v>#VALUE!</v>
      </c>
      <c r="U306" s="515" t="e">
        <f>SUMIFS('[16]项目支出总表（开）'!V:V,'[16]项目支出总表（开）'!C:C,MID(TRIM(A306),2,7))</f>
        <v>#VALUE!</v>
      </c>
    </row>
    <row r="307" s="1" customFormat="1" ht="21.75" customHeight="1" spans="1:21">
      <c r="A307" s="516" t="s">
        <v>360</v>
      </c>
      <c r="B307" s="515"/>
      <c r="C307" s="515"/>
      <c r="D307" s="515"/>
      <c r="E307" s="515"/>
      <c r="F307" s="515"/>
      <c r="G307" s="515" t="e">
        <f t="shared" si="317"/>
        <v>#VALUE!</v>
      </c>
      <c r="H307" s="515" t="e">
        <f>SUMIFS('[16]基本支出总表（开）'!P:P,'[16]基本支出总表（开）'!C:C,MID(A307,4,7))</f>
        <v>#VALUE!</v>
      </c>
      <c r="I307" s="515" t="e">
        <f>SUMIFS('[16]项目支出总表（开）'!Y:Y,'[16]项目支出总表（开）'!C:C,MID(A307,4,7))+SUMIFS('[16]项目支出总表（开）'!Z:Z,'[16]项目支出总表（开）'!C:C,MID(A307,4,7))</f>
        <v>#VALUE!</v>
      </c>
      <c r="J307" s="524" t="str">
        <f t="shared" si="289"/>
        <v/>
      </c>
      <c r="K307" s="524" t="str">
        <f t="shared" si="290"/>
        <v/>
      </c>
      <c r="L307" s="524" t="str">
        <f t="shared" si="291"/>
        <v/>
      </c>
      <c r="O307" s="153"/>
      <c r="S307" s="515" t="e">
        <f t="shared" si="318"/>
        <v>#VALUE!</v>
      </c>
      <c r="T307" s="515" t="e">
        <f>SUMIFS('[16]基本支出总表（开）'!M:M,'[16]基本支出总表（开）'!C:C,MID(TRIM(A307),2,7))</f>
        <v>#VALUE!</v>
      </c>
      <c r="U307" s="515" t="e">
        <f>SUMIFS('[16]项目支出总表（开）'!V:V,'[16]项目支出总表（开）'!C:C,MID(TRIM(A307),2,7))</f>
        <v>#VALUE!</v>
      </c>
    </row>
    <row r="308" s="1" customFormat="1" ht="21.75" customHeight="1" spans="1:21">
      <c r="A308" s="517" t="s">
        <v>361</v>
      </c>
      <c r="B308" s="513">
        <f t="shared" ref="B308:I308" si="321">SUM(B309)</f>
        <v>0</v>
      </c>
      <c r="C308" s="513">
        <f t="shared" si="321"/>
        <v>0</v>
      </c>
      <c r="D308" s="513">
        <f t="shared" si="321"/>
        <v>0</v>
      </c>
      <c r="E308" s="513">
        <f t="shared" si="321"/>
        <v>0</v>
      </c>
      <c r="F308" s="513">
        <f t="shared" si="321"/>
        <v>0</v>
      </c>
      <c r="G308" s="513" t="e">
        <f t="shared" si="321"/>
        <v>#VALUE!</v>
      </c>
      <c r="H308" s="513" t="e">
        <f t="shared" si="321"/>
        <v>#VALUE!</v>
      </c>
      <c r="I308" s="513" t="e">
        <f t="shared" si="321"/>
        <v>#VALUE!</v>
      </c>
      <c r="J308" s="523" t="str">
        <f t="shared" si="289"/>
        <v/>
      </c>
      <c r="K308" s="523" t="str">
        <f t="shared" si="290"/>
        <v/>
      </c>
      <c r="L308" s="523" t="str">
        <f t="shared" si="291"/>
        <v/>
      </c>
      <c r="O308" s="153"/>
      <c r="S308" s="513" t="e">
        <f t="shared" ref="S308:U308" si="322">SUM(S309)</f>
        <v>#VALUE!</v>
      </c>
      <c r="T308" s="513" t="e">
        <f t="shared" si="322"/>
        <v>#VALUE!</v>
      </c>
      <c r="U308" s="513" t="e">
        <f t="shared" si="322"/>
        <v>#VALUE!</v>
      </c>
    </row>
    <row r="309" s="1" customFormat="1" ht="21.75" customHeight="1" spans="1:21">
      <c r="A309" s="516" t="s">
        <v>362</v>
      </c>
      <c r="B309" s="515"/>
      <c r="C309" s="515"/>
      <c r="D309" s="515"/>
      <c r="E309" s="515"/>
      <c r="F309" s="515"/>
      <c r="G309" s="515" t="e">
        <f t="shared" ref="G309:G314" si="323">SUM(H309:I309)</f>
        <v>#VALUE!</v>
      </c>
      <c r="H309" s="515" t="e">
        <f>SUMIFS('[16]基本支出总表（开）'!P:P,'[16]基本支出总表（开）'!C:C,MID(A309,4,7))</f>
        <v>#VALUE!</v>
      </c>
      <c r="I309" s="515" t="e">
        <f>SUMIFS('[16]项目支出总表（开）'!Y:Y,'[16]项目支出总表（开）'!C:C,MID(A309,4,7))+SUMIFS('[16]项目支出总表（开）'!Z:Z,'[16]项目支出总表（开）'!C:C,MID(A309,4,7))</f>
        <v>#VALUE!</v>
      </c>
      <c r="J309" s="524" t="str">
        <f t="shared" si="289"/>
        <v/>
      </c>
      <c r="K309" s="524" t="str">
        <f t="shared" si="290"/>
        <v/>
      </c>
      <c r="L309" s="524" t="str">
        <f t="shared" si="291"/>
        <v/>
      </c>
      <c r="O309" s="153"/>
      <c r="S309" s="515" t="e">
        <f t="shared" ref="S309:S314" si="324">SUM(T309:U309)</f>
        <v>#VALUE!</v>
      </c>
      <c r="T309" s="515" t="e">
        <f>SUMIFS('[16]基本支出总表（开）'!M:M,'[16]基本支出总表（开）'!C:C,MID(TRIM(A309),2,7))</f>
        <v>#VALUE!</v>
      </c>
      <c r="U309" s="515" t="e">
        <f>SUMIFS('[16]项目支出总表（开）'!V:V,'[16]项目支出总表（开）'!C:C,MID(TRIM(A309),2,7))</f>
        <v>#VALUE!</v>
      </c>
    </row>
    <row r="310" s="1" customFormat="1" ht="21.75" customHeight="1" spans="1:21">
      <c r="A310" s="517" t="s">
        <v>363</v>
      </c>
      <c r="B310" s="513">
        <f t="shared" ref="B310:I310" si="325">SUM(B311)</f>
        <v>0</v>
      </c>
      <c r="C310" s="513">
        <f t="shared" si="325"/>
        <v>0</v>
      </c>
      <c r="D310" s="513">
        <f t="shared" si="325"/>
        <v>0</v>
      </c>
      <c r="E310" s="513">
        <f t="shared" si="325"/>
        <v>0</v>
      </c>
      <c r="F310" s="513">
        <f t="shared" si="325"/>
        <v>0</v>
      </c>
      <c r="G310" s="513" t="e">
        <f t="shared" si="325"/>
        <v>#VALUE!</v>
      </c>
      <c r="H310" s="513" t="e">
        <f t="shared" si="325"/>
        <v>#VALUE!</v>
      </c>
      <c r="I310" s="513" t="e">
        <f t="shared" si="325"/>
        <v>#VALUE!</v>
      </c>
      <c r="J310" s="523" t="str">
        <f t="shared" si="289"/>
        <v/>
      </c>
      <c r="K310" s="523" t="str">
        <f t="shared" si="290"/>
        <v/>
      </c>
      <c r="L310" s="523" t="str">
        <f t="shared" si="291"/>
        <v/>
      </c>
      <c r="O310" s="153"/>
      <c r="S310" s="513" t="e">
        <f t="shared" ref="S310:U310" si="326">SUM(S311)</f>
        <v>#VALUE!</v>
      </c>
      <c r="T310" s="513" t="e">
        <f t="shared" si="326"/>
        <v>#VALUE!</v>
      </c>
      <c r="U310" s="513" t="e">
        <f t="shared" si="326"/>
        <v>#VALUE!</v>
      </c>
    </row>
    <row r="311" s="1" customFormat="1" ht="21.75" customHeight="1" spans="1:21">
      <c r="A311" s="516" t="s">
        <v>364</v>
      </c>
      <c r="B311" s="515"/>
      <c r="C311" s="515"/>
      <c r="D311" s="515"/>
      <c r="E311" s="515"/>
      <c r="F311" s="515"/>
      <c r="G311" s="515" t="e">
        <f t="shared" si="323"/>
        <v>#VALUE!</v>
      </c>
      <c r="H311" s="515" t="e">
        <f>SUMIFS('[16]基本支出总表（开）'!P:P,'[16]基本支出总表（开）'!C:C,MID(A311,4,7))</f>
        <v>#VALUE!</v>
      </c>
      <c r="I311" s="515" t="e">
        <f>SUMIFS('[16]项目支出总表（开）'!Y:Y,'[16]项目支出总表（开）'!C:C,MID(A311,4,7))+SUMIFS('[16]项目支出总表（开）'!Z:Z,'[16]项目支出总表（开）'!C:C,MID(A311,4,7))</f>
        <v>#VALUE!</v>
      </c>
      <c r="J311" s="524" t="str">
        <f t="shared" si="289"/>
        <v/>
      </c>
      <c r="K311" s="524" t="str">
        <f t="shared" si="290"/>
        <v/>
      </c>
      <c r="L311" s="524" t="str">
        <f t="shared" si="291"/>
        <v/>
      </c>
      <c r="O311" s="153"/>
      <c r="S311" s="515" t="e">
        <f t="shared" si="324"/>
        <v>#VALUE!</v>
      </c>
      <c r="T311" s="515" t="e">
        <f>SUMIFS('[16]基本支出总表（开）'!M:M,'[16]基本支出总表（开）'!C:C,MID(TRIM(A311),2,7))</f>
        <v>#VALUE!</v>
      </c>
      <c r="U311" s="515" t="e">
        <f>SUMIFS('[16]项目支出总表（开）'!V:V,'[16]项目支出总表（开）'!C:C,MID(TRIM(A311),2,7))</f>
        <v>#VALUE!</v>
      </c>
    </row>
    <row r="312" s="1" customFormat="1" ht="21.75" customHeight="1" spans="1:21">
      <c r="A312" s="510" t="s">
        <v>365</v>
      </c>
      <c r="B312" s="511">
        <f t="shared" ref="B312:I312" si="327">SUM(B313)</f>
        <v>4400</v>
      </c>
      <c r="C312" s="511">
        <f t="shared" si="327"/>
        <v>0</v>
      </c>
      <c r="D312" s="511">
        <f t="shared" si="327"/>
        <v>0</v>
      </c>
      <c r="E312" s="511">
        <f t="shared" si="327"/>
        <v>0</v>
      </c>
      <c r="F312" s="511">
        <f t="shared" si="327"/>
        <v>4400</v>
      </c>
      <c r="G312" s="511" t="e">
        <f t="shared" si="327"/>
        <v>#VALUE!</v>
      </c>
      <c r="H312" s="511" t="e">
        <f t="shared" si="327"/>
        <v>#VALUE!</v>
      </c>
      <c r="I312" s="511" t="e">
        <f t="shared" si="327"/>
        <v>#VALUE!</v>
      </c>
      <c r="J312" s="522" t="e">
        <f t="shared" si="289"/>
        <v>#VALUE!</v>
      </c>
      <c r="K312" s="522" t="str">
        <f t="shared" si="290"/>
        <v/>
      </c>
      <c r="L312" s="522" t="e">
        <f t="shared" si="291"/>
        <v>#VALUE!</v>
      </c>
      <c r="O312" s="153"/>
      <c r="S312" s="511" t="e">
        <f t="shared" ref="S312:U312" si="328">SUM(S313)</f>
        <v>#VALUE!</v>
      </c>
      <c r="T312" s="511" t="e">
        <f t="shared" si="328"/>
        <v>#VALUE!</v>
      </c>
      <c r="U312" s="511" t="e">
        <f t="shared" si="328"/>
        <v>#VALUE!</v>
      </c>
    </row>
    <row r="313" s="1" customFormat="1" ht="21.75" customHeight="1" spans="1:21">
      <c r="A313" s="512" t="s">
        <v>366</v>
      </c>
      <c r="B313" s="513">
        <f t="shared" ref="B313:I313" si="329">SUM(B314)</f>
        <v>4400</v>
      </c>
      <c r="C313" s="513">
        <f t="shared" si="329"/>
        <v>0</v>
      </c>
      <c r="D313" s="513">
        <f t="shared" si="329"/>
        <v>0</v>
      </c>
      <c r="E313" s="513">
        <f t="shared" si="329"/>
        <v>0</v>
      </c>
      <c r="F313" s="513">
        <f t="shared" si="329"/>
        <v>4400</v>
      </c>
      <c r="G313" s="513" t="e">
        <f t="shared" si="329"/>
        <v>#VALUE!</v>
      </c>
      <c r="H313" s="513" t="e">
        <f t="shared" si="329"/>
        <v>#VALUE!</v>
      </c>
      <c r="I313" s="513" t="e">
        <f t="shared" si="329"/>
        <v>#VALUE!</v>
      </c>
      <c r="J313" s="523" t="e">
        <f t="shared" si="289"/>
        <v>#VALUE!</v>
      </c>
      <c r="K313" s="523" t="str">
        <f t="shared" si="290"/>
        <v/>
      </c>
      <c r="L313" s="523" t="e">
        <f t="shared" si="291"/>
        <v>#VALUE!</v>
      </c>
      <c r="O313" s="153"/>
      <c r="S313" s="513" t="e">
        <f t="shared" ref="S313:U313" si="330">SUM(S314)</f>
        <v>#VALUE!</v>
      </c>
      <c r="T313" s="513" t="e">
        <f t="shared" si="330"/>
        <v>#VALUE!</v>
      </c>
      <c r="U313" s="513" t="e">
        <f t="shared" si="330"/>
        <v>#VALUE!</v>
      </c>
    </row>
    <row r="314" s="1" customFormat="1" ht="21.75" customHeight="1" spans="1:21">
      <c r="A314" s="514" t="s">
        <v>367</v>
      </c>
      <c r="B314" s="515">
        <v>4400</v>
      </c>
      <c r="C314" s="515"/>
      <c r="D314" s="515"/>
      <c r="E314" s="515"/>
      <c r="F314" s="515">
        <v>4400</v>
      </c>
      <c r="G314" s="515" t="e">
        <f t="shared" si="323"/>
        <v>#VALUE!</v>
      </c>
      <c r="H314" s="515" t="e">
        <f>SUMIFS('[16]基本支出总表（开）'!P:P,'[16]基本支出总表（开）'!C:C,MID(A314,4,7))</f>
        <v>#VALUE!</v>
      </c>
      <c r="I314" s="515" t="e">
        <f>SUMIFS('[16]项目支出总表（开）'!Y:Y,'[16]项目支出总表（开）'!C:C,MID(A314,4,7))+SUMIFS('[16]项目支出总表（开）'!Z:Z,'[16]项目支出总表（开）'!C:C,MID(A314,4,7))</f>
        <v>#VALUE!</v>
      </c>
      <c r="J314" s="524" t="e">
        <f t="shared" si="289"/>
        <v>#VALUE!</v>
      </c>
      <c r="K314" s="524" t="str">
        <f t="shared" si="290"/>
        <v/>
      </c>
      <c r="L314" s="524" t="e">
        <f t="shared" si="291"/>
        <v>#VALUE!</v>
      </c>
      <c r="O314" s="153"/>
      <c r="S314" s="515" t="e">
        <f t="shared" si="324"/>
        <v>#VALUE!</v>
      </c>
      <c r="T314" s="515" t="e">
        <f>SUMIFS('[16]基本支出总表（开）'!M:M,'[16]基本支出总表（开）'!C:C,MID(TRIM(A314),2,3))</f>
        <v>#VALUE!</v>
      </c>
      <c r="U314" s="515" t="e">
        <f>SUMIFS('[16]项目支出总表（开）'!V:V,'[16]项目支出总表（开）'!C:C,MID(TRIM(A314),2,7))</f>
        <v>#VALUE!</v>
      </c>
    </row>
    <row r="315" s="1" customFormat="1" ht="21.75" customHeight="1" spans="1:21">
      <c r="A315" s="510" t="s">
        <v>368</v>
      </c>
      <c r="B315" s="511">
        <f t="shared" ref="B315:I315" si="331">B316+B318</f>
        <v>7080.4</v>
      </c>
      <c r="C315" s="511">
        <f t="shared" si="331"/>
        <v>0</v>
      </c>
      <c r="D315" s="511">
        <f t="shared" si="331"/>
        <v>0</v>
      </c>
      <c r="E315" s="511">
        <f t="shared" si="331"/>
        <v>0</v>
      </c>
      <c r="F315" s="511">
        <f t="shared" si="331"/>
        <v>7080.4</v>
      </c>
      <c r="G315" s="511" t="e">
        <f t="shared" si="331"/>
        <v>#VALUE!</v>
      </c>
      <c r="H315" s="511" t="e">
        <f t="shared" si="331"/>
        <v>#VALUE!</v>
      </c>
      <c r="I315" s="511" t="e">
        <f t="shared" si="331"/>
        <v>#VALUE!</v>
      </c>
      <c r="J315" s="522" t="e">
        <f t="shared" si="289"/>
        <v>#VALUE!</v>
      </c>
      <c r="K315" s="522" t="str">
        <f t="shared" si="290"/>
        <v/>
      </c>
      <c r="L315" s="522" t="e">
        <f t="shared" si="291"/>
        <v>#VALUE!</v>
      </c>
      <c r="O315" s="153"/>
      <c r="S315" s="511" t="e">
        <f t="shared" ref="S315:U315" si="332">S316+S318</f>
        <v>#VALUE!</v>
      </c>
      <c r="T315" s="511" t="e">
        <f t="shared" si="332"/>
        <v>#VALUE!</v>
      </c>
      <c r="U315" s="511" t="e">
        <f t="shared" si="332"/>
        <v>#VALUE!</v>
      </c>
    </row>
    <row r="316" s="1" customFormat="1" ht="21.75" customHeight="1" spans="1:21">
      <c r="A316" s="512" t="s">
        <v>369</v>
      </c>
      <c r="B316" s="513">
        <f t="shared" ref="B316:I316" si="333">SUM(B317)</f>
        <v>7000</v>
      </c>
      <c r="C316" s="513">
        <f t="shared" si="333"/>
        <v>0</v>
      </c>
      <c r="D316" s="513">
        <f t="shared" si="333"/>
        <v>0</v>
      </c>
      <c r="E316" s="513">
        <f t="shared" si="333"/>
        <v>0</v>
      </c>
      <c r="F316" s="513">
        <f t="shared" si="333"/>
        <v>7000</v>
      </c>
      <c r="G316" s="513" t="e">
        <f t="shared" si="333"/>
        <v>#VALUE!</v>
      </c>
      <c r="H316" s="513" t="e">
        <f t="shared" si="333"/>
        <v>#VALUE!</v>
      </c>
      <c r="I316" s="513" t="e">
        <f t="shared" si="333"/>
        <v>#VALUE!</v>
      </c>
      <c r="J316" s="523" t="e">
        <f t="shared" si="289"/>
        <v>#VALUE!</v>
      </c>
      <c r="K316" s="523" t="str">
        <f t="shared" si="290"/>
        <v/>
      </c>
      <c r="L316" s="523" t="e">
        <f t="shared" si="291"/>
        <v>#VALUE!</v>
      </c>
      <c r="O316" s="153"/>
      <c r="S316" s="513" t="e">
        <f t="shared" ref="S316:U316" si="334">SUM(S317)</f>
        <v>#VALUE!</v>
      </c>
      <c r="T316" s="513" t="e">
        <f t="shared" si="334"/>
        <v>#VALUE!</v>
      </c>
      <c r="U316" s="513" t="e">
        <f t="shared" si="334"/>
        <v>#VALUE!</v>
      </c>
    </row>
    <row r="317" s="1" customFormat="1" ht="21.75" customHeight="1" spans="1:21">
      <c r="A317" s="514" t="s">
        <v>370</v>
      </c>
      <c r="B317" s="515">
        <v>7000</v>
      </c>
      <c r="C317" s="515"/>
      <c r="D317" s="515"/>
      <c r="E317" s="515"/>
      <c r="F317" s="515">
        <v>7000</v>
      </c>
      <c r="G317" s="515" t="e">
        <f t="shared" ref="G317:G322" si="335">SUM(H317:I317)</f>
        <v>#VALUE!</v>
      </c>
      <c r="H317" s="515" t="e">
        <f>SUMIFS('[16]基本支出总表（开）'!P:P,'[16]基本支出总表（开）'!C:C,MID(A317,4,7))</f>
        <v>#VALUE!</v>
      </c>
      <c r="I317" s="515" t="e">
        <f>SUMIFS('[16]项目支出总表（开）'!Y:Y,'[16]项目支出总表（开）'!C:C,MID(A317,4,7))+SUMIFS('[16]项目支出总表（开）'!Z:Z,'[16]项目支出总表（开）'!C:C,MID(A317,4,7))</f>
        <v>#VALUE!</v>
      </c>
      <c r="J317" s="524" t="e">
        <f t="shared" si="289"/>
        <v>#VALUE!</v>
      </c>
      <c r="K317" s="524" t="str">
        <f t="shared" si="290"/>
        <v/>
      </c>
      <c r="L317" s="524" t="e">
        <f t="shared" si="291"/>
        <v>#VALUE!</v>
      </c>
      <c r="O317" s="153"/>
      <c r="S317" s="515" t="e">
        <f t="shared" ref="S317:S322" si="336">SUM(T317:U317)</f>
        <v>#VALUE!</v>
      </c>
      <c r="T317" s="515" t="e">
        <f>SUMIFS('[16]基本支出总表（开）'!M:M,'[16]基本支出总表（开）'!C:C,MID(TRIM(A317),2,7))</f>
        <v>#VALUE!</v>
      </c>
      <c r="U317" s="515" t="e">
        <f>SUMIFS('[16]项目支出总表（开）'!V:V,'[16]项目支出总表（开）'!C:C,MID(TRIM(A317),2,7))</f>
        <v>#VALUE!</v>
      </c>
    </row>
    <row r="318" s="1" customFormat="1" ht="21.75" customHeight="1" spans="1:21">
      <c r="A318" s="512" t="s">
        <v>371</v>
      </c>
      <c r="B318" s="513">
        <f t="shared" ref="B318:I318" si="337">SUM(B319)</f>
        <v>80.4</v>
      </c>
      <c r="C318" s="513">
        <f t="shared" si="337"/>
        <v>0</v>
      </c>
      <c r="D318" s="513">
        <f t="shared" si="337"/>
        <v>0</v>
      </c>
      <c r="E318" s="513">
        <f t="shared" si="337"/>
        <v>0</v>
      </c>
      <c r="F318" s="513">
        <f t="shared" si="337"/>
        <v>80.4</v>
      </c>
      <c r="G318" s="513" t="e">
        <f t="shared" si="337"/>
        <v>#VALUE!</v>
      </c>
      <c r="H318" s="513" t="e">
        <f t="shared" si="337"/>
        <v>#VALUE!</v>
      </c>
      <c r="I318" s="513" t="e">
        <f t="shared" si="337"/>
        <v>#VALUE!</v>
      </c>
      <c r="J318" s="523" t="e">
        <f t="shared" si="289"/>
        <v>#VALUE!</v>
      </c>
      <c r="K318" s="523" t="str">
        <f t="shared" si="290"/>
        <v/>
      </c>
      <c r="L318" s="523" t="e">
        <f t="shared" si="291"/>
        <v>#VALUE!</v>
      </c>
      <c r="O318" s="153"/>
      <c r="S318" s="513" t="e">
        <f t="shared" ref="S318:U318" si="338">SUM(S319)</f>
        <v>#VALUE!</v>
      </c>
      <c r="T318" s="513" t="e">
        <f t="shared" si="338"/>
        <v>#VALUE!</v>
      </c>
      <c r="U318" s="513" t="e">
        <f t="shared" si="338"/>
        <v>#VALUE!</v>
      </c>
    </row>
    <row r="319" s="1" customFormat="1" ht="21.75" customHeight="1" spans="1:21">
      <c r="A319" s="514" t="s">
        <v>372</v>
      </c>
      <c r="B319" s="515">
        <v>80.4</v>
      </c>
      <c r="C319" s="515"/>
      <c r="D319" s="515"/>
      <c r="E319" s="515"/>
      <c r="F319" s="515">
        <v>80.4</v>
      </c>
      <c r="G319" s="515" t="e">
        <f t="shared" si="335"/>
        <v>#VALUE!</v>
      </c>
      <c r="H319" s="515" t="e">
        <f>SUMIFS('[16]基本支出总表（开）'!P:P,'[16]基本支出总表（开）'!C:C,MID(A319,4,7))</f>
        <v>#VALUE!</v>
      </c>
      <c r="I319" s="515" t="e">
        <f>SUMIFS('[16]项目支出总表（开）'!Y:Y,'[16]项目支出总表（开）'!C:C,MID(A319,4,7))+SUMIFS('[16]项目支出总表（开）'!Z:Z,'[16]项目支出总表（开）'!C:C,MID(A319,4,7))</f>
        <v>#VALUE!</v>
      </c>
      <c r="J319" s="524" t="e">
        <f t="shared" si="289"/>
        <v>#VALUE!</v>
      </c>
      <c r="K319" s="524" t="str">
        <f t="shared" si="290"/>
        <v/>
      </c>
      <c r="L319" s="524" t="e">
        <f t="shared" si="291"/>
        <v>#VALUE!</v>
      </c>
      <c r="O319" s="153"/>
      <c r="S319" s="515" t="e">
        <f t="shared" si="336"/>
        <v>#VALUE!</v>
      </c>
      <c r="T319" s="515" t="e">
        <f>SUMIFS('[16]基本支出总表（开）'!M:M,'[16]基本支出总表（开）'!C:C,MID(TRIM(A319),2,7))</f>
        <v>#VALUE!</v>
      </c>
      <c r="U319" s="515" t="e">
        <f>SUMIFS('[16]项目支出总表（开）'!V:V,'[16]项目支出总表（开）'!C:C,MID(TRIM(A319),2,7))</f>
        <v>#VALUE!</v>
      </c>
    </row>
    <row r="320" s="1" customFormat="1" ht="21.75" customHeight="1" spans="1:21">
      <c r="A320" s="510" t="s">
        <v>373</v>
      </c>
      <c r="B320" s="511">
        <f t="shared" ref="B320:I320" si="339">SUM(B321)</f>
        <v>20454</v>
      </c>
      <c r="C320" s="511">
        <f t="shared" si="339"/>
        <v>0</v>
      </c>
      <c r="D320" s="511">
        <f t="shared" si="339"/>
        <v>0</v>
      </c>
      <c r="E320" s="511">
        <f t="shared" si="339"/>
        <v>0</v>
      </c>
      <c r="F320" s="511">
        <f t="shared" si="339"/>
        <v>20454</v>
      </c>
      <c r="G320" s="511" t="e">
        <f t="shared" si="339"/>
        <v>#VALUE!</v>
      </c>
      <c r="H320" s="511" t="e">
        <f t="shared" si="339"/>
        <v>#VALUE!</v>
      </c>
      <c r="I320" s="511" t="e">
        <f t="shared" si="339"/>
        <v>#VALUE!</v>
      </c>
      <c r="J320" s="522" t="e">
        <f t="shared" si="289"/>
        <v>#VALUE!</v>
      </c>
      <c r="K320" s="522" t="str">
        <f t="shared" si="290"/>
        <v/>
      </c>
      <c r="L320" s="522" t="e">
        <f t="shared" si="291"/>
        <v>#VALUE!</v>
      </c>
      <c r="O320" s="153"/>
      <c r="S320" s="511" t="e">
        <f t="shared" ref="S320:U320" si="340">SUM(S321)</f>
        <v>#VALUE!</v>
      </c>
      <c r="T320" s="511" t="e">
        <f t="shared" si="340"/>
        <v>#VALUE!</v>
      </c>
      <c r="U320" s="511" t="e">
        <f t="shared" si="340"/>
        <v>#VALUE!</v>
      </c>
    </row>
    <row r="321" s="1" customFormat="1" ht="21.75" customHeight="1" spans="1:21">
      <c r="A321" s="512" t="s">
        <v>374</v>
      </c>
      <c r="B321" s="513">
        <f t="shared" ref="B321:I321" si="341">SUM(B322)</f>
        <v>20454</v>
      </c>
      <c r="C321" s="513">
        <f t="shared" si="341"/>
        <v>0</v>
      </c>
      <c r="D321" s="513">
        <f t="shared" si="341"/>
        <v>0</v>
      </c>
      <c r="E321" s="513">
        <f t="shared" si="341"/>
        <v>0</v>
      </c>
      <c r="F321" s="513">
        <f t="shared" si="341"/>
        <v>20454</v>
      </c>
      <c r="G321" s="513" t="e">
        <f t="shared" si="341"/>
        <v>#VALUE!</v>
      </c>
      <c r="H321" s="513" t="e">
        <f t="shared" si="341"/>
        <v>#VALUE!</v>
      </c>
      <c r="I321" s="513" t="e">
        <f t="shared" si="341"/>
        <v>#VALUE!</v>
      </c>
      <c r="J321" s="523" t="e">
        <f t="shared" si="289"/>
        <v>#VALUE!</v>
      </c>
      <c r="K321" s="523" t="str">
        <f t="shared" si="290"/>
        <v/>
      </c>
      <c r="L321" s="523" t="e">
        <f t="shared" si="291"/>
        <v>#VALUE!</v>
      </c>
      <c r="O321" s="153"/>
      <c r="S321" s="513" t="e">
        <f t="shared" ref="S321:U321" si="342">SUM(S322)</f>
        <v>#VALUE!</v>
      </c>
      <c r="T321" s="513" t="e">
        <f t="shared" si="342"/>
        <v>#VALUE!</v>
      </c>
      <c r="U321" s="513" t="e">
        <f t="shared" si="342"/>
        <v>#VALUE!</v>
      </c>
    </row>
    <row r="322" s="1" customFormat="1" ht="21.75" customHeight="1" spans="1:21">
      <c r="A322" s="514" t="s">
        <v>375</v>
      </c>
      <c r="B322" s="515">
        <v>20454</v>
      </c>
      <c r="C322" s="515"/>
      <c r="D322" s="515"/>
      <c r="E322" s="515"/>
      <c r="F322" s="515">
        <v>20454</v>
      </c>
      <c r="G322" s="515" t="e">
        <f t="shared" si="335"/>
        <v>#VALUE!</v>
      </c>
      <c r="H322" s="515" t="e">
        <f>SUMIFS('[16]基本支出总表（开）'!P:P,'[16]基本支出总表（开）'!C:C,MID(A322,4,7))</f>
        <v>#VALUE!</v>
      </c>
      <c r="I322" s="515" t="e">
        <f>SUMIFS('[16]项目支出总表（开）'!Y:Y,'[16]项目支出总表（开）'!C:C,MID(A322,4,7))+SUMIFS('[16]项目支出总表（开）'!Z:Z,'[16]项目支出总表（开）'!C:C,MID(A322,4,7))</f>
        <v>#VALUE!</v>
      </c>
      <c r="J322" s="524" t="e">
        <f t="shared" si="289"/>
        <v>#VALUE!</v>
      </c>
      <c r="K322" s="524" t="str">
        <f t="shared" si="290"/>
        <v/>
      </c>
      <c r="L322" s="524" t="e">
        <f t="shared" si="291"/>
        <v>#VALUE!</v>
      </c>
      <c r="O322" s="153"/>
      <c r="S322" s="515" t="e">
        <f t="shared" si="336"/>
        <v>#VALUE!</v>
      </c>
      <c r="T322" s="515" t="e">
        <f>SUMIFS('[16]基本支出总表（开）'!M:M,'[16]基本支出总表（开）'!C:C,MID(TRIM(A322),2,7))</f>
        <v>#VALUE!</v>
      </c>
      <c r="U322" s="515" t="e">
        <f>SUMIFS('[16]项目支出总表（开）'!V:V,'[16]项目支出总表（开）'!C:C,MID(TRIM(A322),2,7))</f>
        <v>#VALUE!</v>
      </c>
    </row>
    <row r="323" s="1" customFormat="1" ht="21.75" customHeight="1" spans="1:21">
      <c r="A323" s="510" t="s">
        <v>376</v>
      </c>
      <c r="B323" s="511">
        <f t="shared" ref="B323:I323" si="343">SUM(B324)</f>
        <v>3940</v>
      </c>
      <c r="C323" s="511">
        <f t="shared" si="343"/>
        <v>0</v>
      </c>
      <c r="D323" s="511">
        <f t="shared" si="343"/>
        <v>0</v>
      </c>
      <c r="E323" s="511">
        <f t="shared" si="343"/>
        <v>0</v>
      </c>
      <c r="F323" s="511">
        <f t="shared" si="343"/>
        <v>3940</v>
      </c>
      <c r="G323" s="511" t="e">
        <f t="shared" si="343"/>
        <v>#VALUE!</v>
      </c>
      <c r="H323" s="511" t="e">
        <f t="shared" si="343"/>
        <v>#VALUE!</v>
      </c>
      <c r="I323" s="511" t="e">
        <f t="shared" si="343"/>
        <v>#VALUE!</v>
      </c>
      <c r="J323" s="522" t="e">
        <f t="shared" si="289"/>
        <v>#VALUE!</v>
      </c>
      <c r="K323" s="522" t="str">
        <f t="shared" si="290"/>
        <v/>
      </c>
      <c r="L323" s="522" t="e">
        <f t="shared" si="291"/>
        <v>#VALUE!</v>
      </c>
      <c r="O323" s="153"/>
      <c r="S323" s="511" t="e">
        <f t="shared" ref="S323:U323" si="344">SUM(S324)</f>
        <v>#VALUE!</v>
      </c>
      <c r="T323" s="511" t="e">
        <f t="shared" si="344"/>
        <v>#VALUE!</v>
      </c>
      <c r="U323" s="511" t="e">
        <f t="shared" si="344"/>
        <v>#VALUE!</v>
      </c>
    </row>
    <row r="324" s="1" customFormat="1" ht="21.75" customHeight="1" spans="1:21">
      <c r="A324" s="512" t="s">
        <v>377</v>
      </c>
      <c r="B324" s="513">
        <f t="shared" ref="B324:I324" si="345">SUM(B325)</f>
        <v>3940</v>
      </c>
      <c r="C324" s="513">
        <f t="shared" si="345"/>
        <v>0</v>
      </c>
      <c r="D324" s="513">
        <f t="shared" si="345"/>
        <v>0</v>
      </c>
      <c r="E324" s="513">
        <f t="shared" si="345"/>
        <v>0</v>
      </c>
      <c r="F324" s="513">
        <f t="shared" si="345"/>
        <v>3940</v>
      </c>
      <c r="G324" s="513" t="e">
        <f t="shared" si="345"/>
        <v>#VALUE!</v>
      </c>
      <c r="H324" s="513" t="e">
        <f t="shared" si="345"/>
        <v>#VALUE!</v>
      </c>
      <c r="I324" s="513" t="e">
        <f t="shared" si="345"/>
        <v>#VALUE!</v>
      </c>
      <c r="J324" s="523" t="e">
        <f t="shared" si="289"/>
        <v>#VALUE!</v>
      </c>
      <c r="K324" s="523" t="str">
        <f t="shared" si="290"/>
        <v/>
      </c>
      <c r="L324" s="523" t="e">
        <f t="shared" si="291"/>
        <v>#VALUE!</v>
      </c>
      <c r="O324" s="153"/>
      <c r="S324" s="513" t="e">
        <f t="shared" ref="S324:U324" si="346">SUM(S325)</f>
        <v>#VALUE!</v>
      </c>
      <c r="T324" s="513" t="e">
        <f t="shared" si="346"/>
        <v>#VALUE!</v>
      </c>
      <c r="U324" s="513" t="e">
        <f t="shared" si="346"/>
        <v>#VALUE!</v>
      </c>
    </row>
    <row r="325" s="1" customFormat="1" ht="21.75" customHeight="1" spans="1:21">
      <c r="A325" s="514" t="s">
        <v>378</v>
      </c>
      <c r="B325" s="515">
        <v>3940</v>
      </c>
      <c r="C325" s="515"/>
      <c r="D325" s="515"/>
      <c r="E325" s="515"/>
      <c r="F325" s="515">
        <v>3940</v>
      </c>
      <c r="G325" s="515" t="e">
        <f>SUM(H325:I325)</f>
        <v>#VALUE!</v>
      </c>
      <c r="H325" s="515" t="e">
        <f>SUMIFS('[16]基本支出总表（开）'!P:P,'[16]基本支出总表（开）'!C:C,MID(A325,4,7))</f>
        <v>#VALUE!</v>
      </c>
      <c r="I325" s="515" t="e">
        <f>SUMIFS('[16]项目支出总表（开）'!Y:Y,'[16]项目支出总表（开）'!C:C,MID(A325,4,7))+SUMIFS('[16]项目支出总表（开）'!Z:Z,'[16]项目支出总表（开）'!C:C,MID(A325,4,7))</f>
        <v>#VALUE!</v>
      </c>
      <c r="J325" s="524" t="e">
        <f t="shared" si="289"/>
        <v>#VALUE!</v>
      </c>
      <c r="K325" s="524" t="str">
        <f t="shared" si="290"/>
        <v/>
      </c>
      <c r="L325" s="524" t="e">
        <f t="shared" si="291"/>
        <v>#VALUE!</v>
      </c>
      <c r="O325" s="153"/>
      <c r="S325" s="515" t="e">
        <f>SUM(T325:U325)</f>
        <v>#VALUE!</v>
      </c>
      <c r="T325" s="515" t="e">
        <f>SUMIFS('[16]基本支出总表（开）'!M:M,'[16]基本支出总表（开）'!C:C,MID(TRIM(A325),2,7))</f>
        <v>#VALUE!</v>
      </c>
      <c r="U325" s="515" t="e">
        <f>SUMIFS('[16]项目支出总表（开）'!V:V,'[16]项目支出总表（开）'!C:C,MID(TRIM(A325),2,7))</f>
        <v>#VALUE!</v>
      </c>
    </row>
    <row r="326" s="1" customFormat="1" ht="21.75" customHeight="1" spans="1:21">
      <c r="A326" s="510" t="s">
        <v>379</v>
      </c>
      <c r="B326" s="511">
        <f t="shared" ref="B326:I326" si="347">SUM(B327)</f>
        <v>50</v>
      </c>
      <c r="C326" s="511">
        <f t="shared" si="347"/>
        <v>0</v>
      </c>
      <c r="D326" s="511">
        <f t="shared" si="347"/>
        <v>0</v>
      </c>
      <c r="E326" s="511">
        <f t="shared" si="347"/>
        <v>0</v>
      </c>
      <c r="F326" s="511">
        <f t="shared" si="347"/>
        <v>50</v>
      </c>
      <c r="G326" s="511" t="e">
        <f t="shared" si="347"/>
        <v>#VALUE!</v>
      </c>
      <c r="H326" s="511" t="e">
        <f t="shared" si="347"/>
        <v>#VALUE!</v>
      </c>
      <c r="I326" s="511" t="e">
        <f t="shared" si="347"/>
        <v>#VALUE!</v>
      </c>
      <c r="J326" s="522" t="e">
        <f t="shared" si="289"/>
        <v>#VALUE!</v>
      </c>
      <c r="K326" s="522" t="str">
        <f t="shared" si="290"/>
        <v/>
      </c>
      <c r="L326" s="522" t="e">
        <f t="shared" si="291"/>
        <v>#VALUE!</v>
      </c>
      <c r="O326" s="153"/>
      <c r="S326" s="511" t="e">
        <f t="shared" ref="S326:U326" si="348">SUM(S327)</f>
        <v>#VALUE!</v>
      </c>
      <c r="T326" s="511" t="e">
        <f t="shared" si="348"/>
        <v>#VALUE!</v>
      </c>
      <c r="U326" s="511" t="e">
        <f t="shared" si="348"/>
        <v>#VALUE!</v>
      </c>
    </row>
    <row r="327" s="1" customFormat="1" ht="21.75" customHeight="1" spans="1:21">
      <c r="A327" s="512" t="s">
        <v>380</v>
      </c>
      <c r="B327" s="513">
        <f t="shared" ref="B327:I327" si="349">SUM(B328)</f>
        <v>50</v>
      </c>
      <c r="C327" s="513">
        <f t="shared" si="349"/>
        <v>0</v>
      </c>
      <c r="D327" s="513">
        <f t="shared" si="349"/>
        <v>0</v>
      </c>
      <c r="E327" s="513">
        <f t="shared" si="349"/>
        <v>0</v>
      </c>
      <c r="F327" s="513">
        <f t="shared" si="349"/>
        <v>50</v>
      </c>
      <c r="G327" s="513" t="e">
        <f t="shared" si="349"/>
        <v>#VALUE!</v>
      </c>
      <c r="H327" s="513" t="e">
        <f t="shared" si="349"/>
        <v>#VALUE!</v>
      </c>
      <c r="I327" s="513" t="e">
        <f t="shared" si="349"/>
        <v>#VALUE!</v>
      </c>
      <c r="J327" s="523" t="e">
        <f t="shared" si="289"/>
        <v>#VALUE!</v>
      </c>
      <c r="K327" s="523" t="str">
        <f t="shared" si="290"/>
        <v/>
      </c>
      <c r="L327" s="523" t="e">
        <f t="shared" si="291"/>
        <v>#VALUE!</v>
      </c>
      <c r="O327" s="153"/>
      <c r="S327" s="513" t="e">
        <f t="shared" ref="S327:U327" si="350">SUM(S328)</f>
        <v>#VALUE!</v>
      </c>
      <c r="T327" s="513" t="e">
        <f t="shared" si="350"/>
        <v>#VALUE!</v>
      </c>
      <c r="U327" s="513" t="e">
        <f t="shared" si="350"/>
        <v>#VALUE!</v>
      </c>
    </row>
    <row r="328" s="1" customFormat="1" ht="21.75" customHeight="1" spans="1:21">
      <c r="A328" s="514" t="s">
        <v>381</v>
      </c>
      <c r="B328" s="515">
        <v>50</v>
      </c>
      <c r="C328" s="515"/>
      <c r="D328" s="515"/>
      <c r="E328" s="515"/>
      <c r="F328" s="515">
        <v>50</v>
      </c>
      <c r="G328" s="515" t="e">
        <f>SUM(H328:I328)</f>
        <v>#VALUE!</v>
      </c>
      <c r="H328" s="515" t="e">
        <f>SUMIFS('[16]基本支出总表（开）'!P:P,'[16]基本支出总表（开）'!C:C,MID(A328,4,7))</f>
        <v>#VALUE!</v>
      </c>
      <c r="I328" s="515" t="e">
        <f>SUMIFS('[16]项目支出总表（开）'!Y:Y,'[16]项目支出总表（开）'!C:C,MID(A328,4,7))+SUMIFS('[16]项目支出总表（开）'!Z:Z,'[16]项目支出总表（开）'!C:C,MID(A328,4,7))</f>
        <v>#VALUE!</v>
      </c>
      <c r="J328" s="524" t="e">
        <f t="shared" si="289"/>
        <v>#VALUE!</v>
      </c>
      <c r="K328" s="524" t="str">
        <f t="shared" si="290"/>
        <v/>
      </c>
      <c r="L328" s="524" t="e">
        <f t="shared" si="291"/>
        <v>#VALUE!</v>
      </c>
      <c r="O328" s="153"/>
      <c r="S328" s="515" t="e">
        <f>SUM(T328:U328)</f>
        <v>#VALUE!</v>
      </c>
      <c r="T328" s="515" t="e">
        <f>SUMIFS('[16]基本支出总表（开）'!M:M,'[16]基本支出总表（开）'!C:C,MID(TRIM(A328),2,5))</f>
        <v>#VALUE!</v>
      </c>
      <c r="U328" s="515" t="e">
        <f>SUMIFS('[16]项目支出总表（开）'!V:V,'[16]项目支出总表（开）'!C:C,MID(TRIM(A328),2,5))</f>
        <v>#VALUE!</v>
      </c>
    </row>
    <row r="329" ht="21.75" customHeight="1" spans="1:21">
      <c r="A329" s="525" t="s">
        <v>384</v>
      </c>
      <c r="B329" s="509">
        <f t="shared" ref="B329:I329" si="351">B6+B320</f>
        <v>198203.6207</v>
      </c>
      <c r="C329" s="509">
        <f t="shared" si="351"/>
        <v>42933.70428</v>
      </c>
      <c r="D329" s="509">
        <f t="shared" si="351"/>
        <v>40161.311911</v>
      </c>
      <c r="E329" s="509">
        <f t="shared" si="351"/>
        <v>2772.392369</v>
      </c>
      <c r="F329" s="509">
        <f t="shared" si="351"/>
        <v>155269.91642</v>
      </c>
      <c r="G329" s="509" t="e">
        <f t="shared" si="351"/>
        <v>#VALUE!</v>
      </c>
      <c r="H329" s="509" t="e">
        <f t="shared" si="351"/>
        <v>#VALUE!</v>
      </c>
      <c r="I329" s="509" t="e">
        <f t="shared" si="351"/>
        <v>#VALUE!</v>
      </c>
      <c r="J329" s="521" t="e">
        <f t="shared" si="289"/>
        <v>#VALUE!</v>
      </c>
      <c r="K329" s="521" t="e">
        <f t="shared" si="290"/>
        <v>#VALUE!</v>
      </c>
      <c r="L329" s="521" t="e">
        <f t="shared" si="291"/>
        <v>#VALUE!</v>
      </c>
      <c r="R329" s="1"/>
      <c r="S329" s="509" t="e">
        <f t="shared" ref="S329:U329" si="352">S6+S320</f>
        <v>#VALUE!</v>
      </c>
      <c r="T329" s="509" t="e">
        <f t="shared" si="352"/>
        <v>#VALUE!</v>
      </c>
      <c r="U329" s="509" t="e">
        <f t="shared" si="352"/>
        <v>#VALUE!</v>
      </c>
    </row>
  </sheetData>
  <sheetProtection formatCells="0" formatColumns="0" formatRows="0" insertRows="0" insertColumns="0" insertHyperlinks="0" deleteColumns="0" deleteRows="0" sort="0" autoFilter="0" pivotTables="0"/>
  <autoFilter ref="A1:U329">
    <extLst/>
  </autoFilter>
  <mergeCells count="8">
    <mergeCell ref="A2:L2"/>
    <mergeCell ref="C4:E4"/>
    <mergeCell ref="G4:I4"/>
    <mergeCell ref="J4:L4"/>
    <mergeCell ref="S4:U4"/>
    <mergeCell ref="A4:A5"/>
    <mergeCell ref="B4:B5"/>
    <mergeCell ref="F4:F5"/>
  </mergeCells>
  <printOptions horizontalCentered="1"/>
  <pageMargins left="0.393055555555556" right="0.393055555555556" top="0.590277777777778" bottom="0.393055555555556" header="0.393055555555556" footer="0.393055555555556"/>
  <pageSetup paperSize="9" scale="64" fitToHeight="0" orientation="portrait" horizontalDpi="300" verticalDpi="300"/>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U83"/>
  <sheetViews>
    <sheetView showZeros="0" zoomScale="90" zoomScaleNormal="90" workbookViewId="0">
      <selection activeCell="W14" sqref="W14"/>
    </sheetView>
  </sheetViews>
  <sheetFormatPr defaultColWidth="8" defaultRowHeight="12.75" customHeight="1"/>
  <cols>
    <col min="1" max="1" width="40.625" style="1" customWidth="1"/>
    <col min="2" max="12" width="9.625" style="1" customWidth="1"/>
    <col min="13" max="13" width="11.1083333333333" style="6" customWidth="1"/>
    <col min="14" max="17" width="12.625" style="6" customWidth="1"/>
    <col min="18" max="18" width="8" style="6" customWidth="1"/>
    <col min="19" max="21" width="9.625" style="1" customWidth="1"/>
    <col min="22" max="16383" width="8" style="6"/>
  </cols>
  <sheetData>
    <row r="2" s="379" customFormat="1" ht="36" customHeight="1" spans="1:21">
      <c r="A2" s="11" t="s">
        <v>400</v>
      </c>
      <c r="B2" s="11"/>
      <c r="C2" s="11"/>
      <c r="D2" s="11"/>
      <c r="E2" s="11"/>
      <c r="F2" s="11"/>
      <c r="G2" s="11"/>
      <c r="H2" s="11"/>
      <c r="I2" s="11"/>
      <c r="J2" s="11"/>
      <c r="K2" s="11"/>
      <c r="L2" s="11"/>
      <c r="S2" s="11"/>
      <c r="T2" s="11"/>
      <c r="U2" s="11"/>
    </row>
    <row r="3" s="1" customFormat="1" ht="15" spans="1:21">
      <c r="A3" s="380"/>
      <c r="G3" s="380"/>
      <c r="H3" s="380"/>
      <c r="I3" s="380"/>
      <c r="J3" s="380"/>
      <c r="K3" s="380"/>
      <c r="L3" s="380"/>
      <c r="S3" s="380"/>
      <c r="T3" s="380"/>
      <c r="U3" s="380"/>
    </row>
    <row r="4" s="1" customFormat="1" ht="21.75" customHeight="1" spans="1:21">
      <c r="A4" s="503" t="s">
        <v>40</v>
      </c>
      <c r="B4" s="385" t="s">
        <v>384</v>
      </c>
      <c r="C4" s="385" t="s">
        <v>385</v>
      </c>
      <c r="D4" s="385"/>
      <c r="E4" s="385"/>
      <c r="F4" s="504" t="s">
        <v>386</v>
      </c>
      <c r="G4" s="505" t="s">
        <v>387</v>
      </c>
      <c r="H4" s="506"/>
      <c r="I4" s="519"/>
      <c r="J4" s="505" t="s">
        <v>388</v>
      </c>
      <c r="K4" s="506"/>
      <c r="L4" s="519"/>
      <c r="S4" s="505" t="s">
        <v>389</v>
      </c>
      <c r="T4" s="506"/>
      <c r="U4" s="519"/>
    </row>
    <row r="5" s="1" customFormat="1" ht="21.75" customHeight="1" spans="1:21">
      <c r="A5" s="503"/>
      <c r="B5" s="385"/>
      <c r="C5" s="507" t="s">
        <v>390</v>
      </c>
      <c r="D5" s="507" t="s">
        <v>391</v>
      </c>
      <c r="E5" s="507" t="s">
        <v>392</v>
      </c>
      <c r="F5" s="508"/>
      <c r="G5" s="507" t="s">
        <v>384</v>
      </c>
      <c r="H5" s="507" t="s">
        <v>385</v>
      </c>
      <c r="I5" s="507" t="s">
        <v>386</v>
      </c>
      <c r="J5" s="507" t="s">
        <v>384</v>
      </c>
      <c r="K5" s="507" t="s">
        <v>385</v>
      </c>
      <c r="L5" s="507" t="s">
        <v>386</v>
      </c>
      <c r="N5" s="520"/>
      <c r="O5" s="507" t="s">
        <v>384</v>
      </c>
      <c r="P5" s="507" t="s">
        <v>385</v>
      </c>
      <c r="Q5" s="507" t="s">
        <v>386</v>
      </c>
      <c r="S5" s="507" t="s">
        <v>384</v>
      </c>
      <c r="T5" s="507" t="s">
        <v>385</v>
      </c>
      <c r="U5" s="507" t="s">
        <v>386</v>
      </c>
    </row>
    <row r="6" s="1" customFormat="1" ht="21.75" customHeight="1" spans="1:21">
      <c r="A6" s="390" t="s">
        <v>42</v>
      </c>
      <c r="B6" s="509">
        <f t="shared" ref="B6:I6" si="0">B7+B27+B34+B42+B53+B62+B66+B69+B77+B80+B50+B59</f>
        <v>24626.645737</v>
      </c>
      <c r="C6" s="509">
        <f t="shared" si="0"/>
        <v>10461.635737</v>
      </c>
      <c r="D6" s="509">
        <f t="shared" si="0"/>
        <v>9922.023616</v>
      </c>
      <c r="E6" s="509">
        <f t="shared" si="0"/>
        <v>539.612121</v>
      </c>
      <c r="F6" s="509">
        <f t="shared" si="0"/>
        <v>14165.01</v>
      </c>
      <c r="G6" s="509" t="e">
        <f t="shared" si="0"/>
        <v>#REF!</v>
      </c>
      <c r="H6" s="509" t="e">
        <f t="shared" si="0"/>
        <v>#REF!</v>
      </c>
      <c r="I6" s="509" t="e">
        <f t="shared" si="0"/>
        <v>#REF!</v>
      </c>
      <c r="J6" s="521" t="e">
        <f t="shared" ref="J6:J17" si="1">IF(B6=0,"",G6/B6)</f>
        <v>#REF!</v>
      </c>
      <c r="K6" s="521" t="e">
        <f t="shared" ref="K6:K17" si="2">IF(C6=0,"",H6/C6)</f>
        <v>#REF!</v>
      </c>
      <c r="L6" s="521" t="e">
        <f t="shared" ref="L6:L17" si="3">IF(F6=0,"",I6/F6)</f>
        <v>#REF!</v>
      </c>
      <c r="N6" s="507" t="s">
        <v>393</v>
      </c>
      <c r="O6" s="509" t="e">
        <f t="shared" ref="O6:O11" si="4">SUM(P6:Q6)</f>
        <v>#REF!</v>
      </c>
      <c r="P6" s="509" t="e">
        <f>'基本支出总表（铁）'!#REF!</f>
        <v>#REF!</v>
      </c>
      <c r="Q6" s="509">
        <f>'项目支出总表（铁）'!T6</f>
        <v>5910.09</v>
      </c>
      <c r="S6" s="509">
        <f>S7+S27+S34+S42+S53+S62+S66+S69+S77+S80+S50+S59</f>
        <v>20460.215737</v>
      </c>
      <c r="T6" s="509">
        <f>T7+T27+T34+T42+T53+T62+T66+T69+T77+T80+T50+T59</f>
        <v>10145.635737</v>
      </c>
      <c r="U6" s="509">
        <f>U7+U27+U34+U42+U53+U62+U66+U69+U77+U80+U50+U59</f>
        <v>10314.58</v>
      </c>
    </row>
    <row r="7" s="1" customFormat="1" ht="21.75" customHeight="1" spans="1:21">
      <c r="A7" s="510" t="s">
        <v>43</v>
      </c>
      <c r="B7" s="511">
        <f>B8+B13+B18+B25+B21+B23</f>
        <v>4105.40697</v>
      </c>
      <c r="C7" s="511">
        <f t="shared" ref="C7:I7" si="5">C8+C13+C18+C25+C21+C23</f>
        <v>2621.60697</v>
      </c>
      <c r="D7" s="511">
        <f t="shared" si="5"/>
        <v>2363.129822</v>
      </c>
      <c r="E7" s="511">
        <f t="shared" si="5"/>
        <v>258.477148</v>
      </c>
      <c r="F7" s="511">
        <f t="shared" si="5"/>
        <v>1483.8</v>
      </c>
      <c r="G7" s="511" t="e">
        <f t="shared" si="5"/>
        <v>#REF!</v>
      </c>
      <c r="H7" s="511" t="e">
        <f t="shared" si="5"/>
        <v>#REF!</v>
      </c>
      <c r="I7" s="511" t="e">
        <f t="shared" si="5"/>
        <v>#REF!</v>
      </c>
      <c r="J7" s="522" t="e">
        <f t="shared" si="1"/>
        <v>#REF!</v>
      </c>
      <c r="K7" s="522" t="e">
        <f t="shared" si="2"/>
        <v>#REF!</v>
      </c>
      <c r="L7" s="522" t="e">
        <f t="shared" si="3"/>
        <v>#REF!</v>
      </c>
      <c r="N7" s="507" t="s">
        <v>394</v>
      </c>
      <c r="O7" s="509" t="e">
        <f t="shared" si="4"/>
        <v>#REF!</v>
      </c>
      <c r="P7" s="509" t="e">
        <f>'基本支出总表（铁）'!#REF!</f>
        <v>#REF!</v>
      </c>
      <c r="Q7" s="509" t="e">
        <f>'项目支出总表（铁）'!#REF!</f>
        <v>#REF!</v>
      </c>
      <c r="S7" s="511">
        <f t="shared" ref="S7:U7" si="6">S8+S13+S18+S25+S21+S23</f>
        <v>4180.37697</v>
      </c>
      <c r="T7" s="511">
        <f t="shared" si="6"/>
        <v>2621.60697</v>
      </c>
      <c r="U7" s="511">
        <f t="shared" si="6"/>
        <v>1558.77</v>
      </c>
    </row>
    <row r="8" s="1" customFormat="1" ht="21.75" customHeight="1" spans="1:21">
      <c r="A8" s="512" t="s">
        <v>44</v>
      </c>
      <c r="B8" s="513">
        <f t="shared" ref="B8:I8" si="7">SUM(B9:B12)</f>
        <v>877.879189</v>
      </c>
      <c r="C8" s="513">
        <f t="shared" si="7"/>
        <v>825.979189</v>
      </c>
      <c r="D8" s="513">
        <f t="shared" si="7"/>
        <v>743.591575</v>
      </c>
      <c r="E8" s="513">
        <f t="shared" si="7"/>
        <v>82.387614</v>
      </c>
      <c r="F8" s="513">
        <f t="shared" si="7"/>
        <v>51.9</v>
      </c>
      <c r="G8" s="513" t="e">
        <f t="shared" si="7"/>
        <v>#REF!</v>
      </c>
      <c r="H8" s="513" t="e">
        <f t="shared" si="7"/>
        <v>#REF!</v>
      </c>
      <c r="I8" s="513" t="e">
        <f t="shared" si="7"/>
        <v>#REF!</v>
      </c>
      <c r="J8" s="523" t="e">
        <f t="shared" si="1"/>
        <v>#REF!</v>
      </c>
      <c r="K8" s="523" t="e">
        <f t="shared" si="2"/>
        <v>#REF!</v>
      </c>
      <c r="L8" s="523" t="e">
        <f t="shared" si="3"/>
        <v>#REF!</v>
      </c>
      <c r="N8" s="507" t="s">
        <v>395</v>
      </c>
      <c r="O8" s="509" t="e">
        <f t="shared" si="4"/>
        <v>#REF!</v>
      </c>
      <c r="P8" s="509" t="e">
        <f>'基本支出总表（铁）'!#REF!</f>
        <v>#REF!</v>
      </c>
      <c r="Q8" s="509" t="e">
        <f>'项目支出总表（铁）'!#REF!</f>
        <v>#REF!</v>
      </c>
      <c r="S8" s="513">
        <f t="shared" ref="S8:U8" si="8">SUM(S9:S12)</f>
        <v>895.369189</v>
      </c>
      <c r="T8" s="513">
        <f t="shared" si="8"/>
        <v>825.979189</v>
      </c>
      <c r="U8" s="513">
        <f t="shared" si="8"/>
        <v>69.39</v>
      </c>
    </row>
    <row r="9" s="1" customFormat="1" ht="21.75" customHeight="1" spans="1:21">
      <c r="A9" s="514" t="s">
        <v>45</v>
      </c>
      <c r="B9" s="515">
        <v>825.979189</v>
      </c>
      <c r="C9" s="515">
        <v>825.979189</v>
      </c>
      <c r="D9" s="515">
        <v>743.591575</v>
      </c>
      <c r="E9" s="515">
        <v>82.387614</v>
      </c>
      <c r="F9" s="515"/>
      <c r="G9" s="515" t="e">
        <f t="shared" ref="G9:G12" si="9">SUM(H9:I9)</f>
        <v>#REF!</v>
      </c>
      <c r="H9" s="515" t="e">
        <f>SUMIFS('基本支出总表（铁）'!#REF!,'基本支出总表（铁）'!C:C,MID(A9,4,7))</f>
        <v>#REF!</v>
      </c>
      <c r="I9" s="515" t="e">
        <f>SUMIFS('项目支出总表（铁）'!#REF!,'项目支出总表（铁）'!C:C,MID(A9,4,7))+SUMIFS('项目支出总表（铁）'!#REF!,'项目支出总表（铁）'!C:C,MID(A9,4,7))</f>
        <v>#REF!</v>
      </c>
      <c r="J9" s="524" t="e">
        <f t="shared" si="1"/>
        <v>#REF!</v>
      </c>
      <c r="K9" s="524" t="e">
        <f t="shared" si="2"/>
        <v>#REF!</v>
      </c>
      <c r="L9" s="524" t="str">
        <f t="shared" si="3"/>
        <v/>
      </c>
      <c r="N9" s="507" t="s">
        <v>396</v>
      </c>
      <c r="O9" s="509" t="e">
        <f t="shared" si="4"/>
        <v>#REF!</v>
      </c>
      <c r="P9" s="509" t="e">
        <f>'基本支出总表（铁）'!#REF!</f>
        <v>#REF!</v>
      </c>
      <c r="Q9" s="509">
        <f>'项目支出总表（铁）'!U6</f>
        <v>11236.58</v>
      </c>
      <c r="S9" s="515">
        <f t="shared" ref="S9:S12" si="10">SUM(T9:U9)</f>
        <v>825.979189</v>
      </c>
      <c r="T9" s="515">
        <f>SUMIFS('基本支出总表（铁）'!M:M,'基本支出总表（铁）'!C:C,MID(TRIM(A9),2,7))</f>
        <v>825.979189</v>
      </c>
      <c r="U9" s="515">
        <f>SUMIFS('项目支出总表（铁）'!U:U,'项目支出总表（铁）'!C:C,MID(TRIM(A9),2,7))</f>
        <v>0</v>
      </c>
    </row>
    <row r="10" s="1" customFormat="1" ht="21.75" customHeight="1" spans="1:21">
      <c r="A10" s="514" t="s">
        <v>46</v>
      </c>
      <c r="B10" s="515">
        <v>17</v>
      </c>
      <c r="C10" s="515"/>
      <c r="D10" s="515"/>
      <c r="E10" s="515"/>
      <c r="F10" s="515">
        <v>17</v>
      </c>
      <c r="G10" s="515" t="e">
        <f t="shared" si="9"/>
        <v>#REF!</v>
      </c>
      <c r="H10" s="515" t="e">
        <f>SUMIFS('基本支出总表（铁）'!#REF!,'基本支出总表（铁）'!C:C,MID(A10,4,7))</f>
        <v>#REF!</v>
      </c>
      <c r="I10" s="515" t="e">
        <f>SUMIFS('项目支出总表（铁）'!#REF!,'项目支出总表（铁）'!C:C,MID(A10,4,7))+SUMIFS('项目支出总表（铁）'!#REF!,'项目支出总表（铁）'!C:C,MID(A10,4,7))</f>
        <v>#REF!</v>
      </c>
      <c r="J10" s="524" t="e">
        <f t="shared" si="1"/>
        <v>#REF!</v>
      </c>
      <c r="K10" s="524" t="str">
        <f t="shared" si="2"/>
        <v/>
      </c>
      <c r="L10" s="524" t="e">
        <f t="shared" si="3"/>
        <v>#REF!</v>
      </c>
      <c r="N10" s="507" t="s">
        <v>397</v>
      </c>
      <c r="O10" s="509" t="e">
        <f t="shared" si="4"/>
        <v>#REF!</v>
      </c>
      <c r="P10" s="509" t="e">
        <f>'基本支出总表（铁）'!#REF!</f>
        <v>#REF!</v>
      </c>
      <c r="Q10" s="509" t="e">
        <f>'项目支出总表（铁）'!#REF!</f>
        <v>#REF!</v>
      </c>
      <c r="S10" s="515">
        <f t="shared" si="10"/>
        <v>21.82</v>
      </c>
      <c r="T10" s="515">
        <f>SUMIFS('基本支出总表（铁）'!M:M,'基本支出总表（铁）'!C:C,MID(TRIM(A10),2,7))</f>
        <v>0</v>
      </c>
      <c r="U10" s="515">
        <f>SUMIFS('项目支出总表（铁）'!U:U,'项目支出总表（铁）'!C:C,MID(TRIM(A10),2,7))</f>
        <v>21.82</v>
      </c>
    </row>
    <row r="11" s="1" customFormat="1" ht="21.75" customHeight="1" spans="1:21">
      <c r="A11" s="514" t="s">
        <v>47</v>
      </c>
      <c r="B11" s="515">
        <v>16</v>
      </c>
      <c r="C11" s="515"/>
      <c r="D11" s="515"/>
      <c r="E11" s="515"/>
      <c r="F11" s="515">
        <v>16</v>
      </c>
      <c r="G11" s="515" t="e">
        <f t="shared" si="9"/>
        <v>#REF!</v>
      </c>
      <c r="H11" s="515" t="e">
        <f>SUMIFS('基本支出总表（铁）'!#REF!,'基本支出总表（铁）'!C:C,MID(A11,4,7))</f>
        <v>#REF!</v>
      </c>
      <c r="I11" s="515" t="e">
        <f>SUMIFS('项目支出总表（铁）'!#REF!,'项目支出总表（铁）'!C:C,MID(A11,4,7))+SUMIFS('项目支出总表（铁）'!#REF!,'项目支出总表（铁）'!C:C,MID(A11,4,7))</f>
        <v>#REF!</v>
      </c>
      <c r="J11" s="524" t="e">
        <f t="shared" si="1"/>
        <v>#REF!</v>
      </c>
      <c r="K11" s="524" t="str">
        <f t="shared" si="2"/>
        <v/>
      </c>
      <c r="L11" s="524" t="e">
        <f t="shared" si="3"/>
        <v>#REF!</v>
      </c>
      <c r="N11" s="507" t="s">
        <v>398</v>
      </c>
      <c r="O11" s="509" t="e">
        <f t="shared" si="4"/>
        <v>#REF!</v>
      </c>
      <c r="P11" s="509" t="e">
        <f>'基本支出总表（铁）'!#REF!</f>
        <v>#REF!</v>
      </c>
      <c r="Q11" s="509" t="e">
        <f>'项目支出总表（铁）'!#REF!</f>
        <v>#REF!</v>
      </c>
      <c r="S11" s="515">
        <f t="shared" si="10"/>
        <v>23.84</v>
      </c>
      <c r="T11" s="515">
        <f>SUMIFS('基本支出总表（铁）'!M:M,'基本支出总表（铁）'!C:C,MID(TRIM(A11),2,7))</f>
        <v>0</v>
      </c>
      <c r="U11" s="515">
        <f>SUMIFS('项目支出总表（铁）'!U:U,'项目支出总表（铁）'!C:C,MID(TRIM(A11),2,7))</f>
        <v>23.84</v>
      </c>
    </row>
    <row r="12" s="1" customFormat="1" ht="21.75" customHeight="1" spans="1:21">
      <c r="A12" s="514" t="s">
        <v>48</v>
      </c>
      <c r="B12" s="515">
        <v>18.9</v>
      </c>
      <c r="C12" s="515"/>
      <c r="D12" s="515"/>
      <c r="E12" s="515"/>
      <c r="F12" s="515">
        <v>18.9</v>
      </c>
      <c r="G12" s="515" t="e">
        <f t="shared" si="9"/>
        <v>#REF!</v>
      </c>
      <c r="H12" s="515" t="e">
        <f>SUMIFS('基本支出总表（铁）'!#REF!,'基本支出总表（铁）'!C:C,MID(A12,4,7))</f>
        <v>#REF!</v>
      </c>
      <c r="I12" s="515" t="e">
        <f>SUMIFS('项目支出总表（铁）'!#REF!,'项目支出总表（铁）'!C:C,MID(A12,4,7))+SUMIFS('项目支出总表（铁）'!#REF!,'项目支出总表（铁）'!C:C,MID(A12,4,7))</f>
        <v>#REF!</v>
      </c>
      <c r="J12" s="524" t="e">
        <f t="shared" si="1"/>
        <v>#REF!</v>
      </c>
      <c r="K12" s="524" t="str">
        <f t="shared" si="2"/>
        <v/>
      </c>
      <c r="L12" s="524" t="e">
        <f t="shared" si="3"/>
        <v>#REF!</v>
      </c>
      <c r="O12" s="1" t="e">
        <f>G83-O9</f>
        <v>#REF!</v>
      </c>
      <c r="S12" s="515">
        <f t="shared" si="10"/>
        <v>23.73</v>
      </c>
      <c r="T12" s="515">
        <f>SUMIFS('基本支出总表（铁）'!M:M,'基本支出总表（铁）'!C:C,MID(TRIM(A12),2,7))</f>
        <v>0</v>
      </c>
      <c r="U12" s="515">
        <f>SUMIFS('项目支出总表（铁）'!U:U,'项目支出总表（铁）'!C:C,MID(TRIM(A12),2,7))</f>
        <v>23.73</v>
      </c>
    </row>
    <row r="13" s="1" customFormat="1" ht="21.75" customHeight="1" spans="1:21">
      <c r="A13" s="512" t="s">
        <v>49</v>
      </c>
      <c r="B13" s="513">
        <f t="shared" ref="B13:I13" si="11">SUM(B14:B17)</f>
        <v>738.765097</v>
      </c>
      <c r="C13" s="513">
        <f t="shared" si="11"/>
        <v>694.865097</v>
      </c>
      <c r="D13" s="513">
        <f t="shared" si="11"/>
        <v>625.699479</v>
      </c>
      <c r="E13" s="513">
        <f t="shared" si="11"/>
        <v>69.165618</v>
      </c>
      <c r="F13" s="513">
        <f t="shared" si="11"/>
        <v>43.9</v>
      </c>
      <c r="G13" s="513" t="e">
        <f t="shared" si="11"/>
        <v>#REF!</v>
      </c>
      <c r="H13" s="513" t="e">
        <f t="shared" si="11"/>
        <v>#REF!</v>
      </c>
      <c r="I13" s="513" t="e">
        <f t="shared" si="11"/>
        <v>#REF!</v>
      </c>
      <c r="J13" s="523" t="e">
        <f t="shared" si="1"/>
        <v>#REF!</v>
      </c>
      <c r="K13" s="523" t="e">
        <f t="shared" si="2"/>
        <v>#REF!</v>
      </c>
      <c r="L13" s="523" t="e">
        <f t="shared" si="3"/>
        <v>#REF!</v>
      </c>
      <c r="N13" s="507" t="s">
        <v>399</v>
      </c>
      <c r="O13" s="507"/>
      <c r="S13" s="513">
        <f t="shared" ref="S13:U13" si="12">SUM(S14:S17)</f>
        <v>757.525097</v>
      </c>
      <c r="T13" s="513">
        <f t="shared" si="12"/>
        <v>694.865097</v>
      </c>
      <c r="U13" s="513">
        <f t="shared" si="12"/>
        <v>62.66</v>
      </c>
    </row>
    <row r="14" s="1" customFormat="1" ht="21.75" customHeight="1" spans="1:21">
      <c r="A14" s="514" t="s">
        <v>50</v>
      </c>
      <c r="B14" s="515">
        <v>694.865097</v>
      </c>
      <c r="C14" s="515">
        <v>694.865097</v>
      </c>
      <c r="D14" s="515">
        <v>625.699479</v>
      </c>
      <c r="E14" s="515">
        <v>69.165618</v>
      </c>
      <c r="F14" s="515"/>
      <c r="G14" s="515" t="e">
        <f t="shared" ref="G14:G17" si="13">SUM(H14:I14)</f>
        <v>#REF!</v>
      </c>
      <c r="H14" s="515" t="e">
        <f>SUMIFS('基本支出总表（铁）'!#REF!,'基本支出总表（铁）'!C:C,MID(A14,4,7))</f>
        <v>#REF!</v>
      </c>
      <c r="I14" s="515" t="e">
        <f>SUMIFS('项目支出总表（铁）'!#REF!,'项目支出总表（铁）'!C:C,MID(A14,4,7))+SUMIFS('项目支出总表（铁）'!#REF!,'项目支出总表（铁）'!C:C,MID(A14,4,7))</f>
        <v>#REF!</v>
      </c>
      <c r="J14" s="524" t="e">
        <f t="shared" si="1"/>
        <v>#REF!</v>
      </c>
      <c r="K14" s="524" t="e">
        <f t="shared" si="2"/>
        <v>#REF!</v>
      </c>
      <c r="L14" s="524" t="str">
        <f t="shared" si="3"/>
        <v/>
      </c>
      <c r="N14" s="507" t="s">
        <v>393</v>
      </c>
      <c r="O14" s="509" t="e">
        <f>#REF!/10000-O6</f>
        <v>#REF!</v>
      </c>
      <c r="S14" s="515">
        <f t="shared" ref="S14:S17" si="14">SUM(T14:U14)</f>
        <v>694.865097</v>
      </c>
      <c r="T14" s="515">
        <f>SUMIFS('基本支出总表（铁）'!M:M,'基本支出总表（铁）'!C:C,MID(TRIM(A14),2,7))</f>
        <v>694.865097</v>
      </c>
      <c r="U14" s="515">
        <f>SUMIFS('项目支出总表（铁）'!U:U,'项目支出总表（铁）'!C:C,MID(TRIM(A14),2,7))</f>
        <v>0</v>
      </c>
    </row>
    <row r="15" s="1" customFormat="1" ht="21.75" customHeight="1" spans="1:21">
      <c r="A15" s="514" t="s">
        <v>51</v>
      </c>
      <c r="B15" s="515">
        <v>13</v>
      </c>
      <c r="C15" s="515"/>
      <c r="D15" s="515"/>
      <c r="E15" s="515"/>
      <c r="F15" s="515">
        <v>13</v>
      </c>
      <c r="G15" s="515" t="e">
        <f t="shared" si="13"/>
        <v>#REF!</v>
      </c>
      <c r="H15" s="515" t="e">
        <f>SUMIFS('基本支出总表（铁）'!#REF!,'基本支出总表（铁）'!C:C,MID(A15,4,7))</f>
        <v>#REF!</v>
      </c>
      <c r="I15" s="515" t="e">
        <f>SUMIFS('项目支出总表（铁）'!#REF!,'项目支出总表（铁）'!C:C,MID(A15,4,7))+SUMIFS('项目支出总表（铁）'!#REF!,'项目支出总表（铁）'!C:C,MID(A15,4,7))</f>
        <v>#REF!</v>
      </c>
      <c r="J15" s="524" t="e">
        <f t="shared" si="1"/>
        <v>#REF!</v>
      </c>
      <c r="K15" s="524" t="str">
        <f t="shared" si="2"/>
        <v/>
      </c>
      <c r="L15" s="524" t="e">
        <f t="shared" si="3"/>
        <v>#REF!</v>
      </c>
      <c r="N15" s="507" t="s">
        <v>395</v>
      </c>
      <c r="O15" s="509" t="e">
        <f>#REF!/10000-O8</f>
        <v>#REF!</v>
      </c>
      <c r="S15" s="515">
        <f t="shared" si="14"/>
        <v>16.9</v>
      </c>
      <c r="T15" s="515">
        <f>SUMIFS('基本支出总表（铁）'!M:M,'基本支出总表（铁）'!C:C,MID(TRIM(A15),2,7))</f>
        <v>0</v>
      </c>
      <c r="U15" s="515">
        <f>SUMIFS('项目支出总表（铁）'!U:U,'项目支出总表（铁）'!C:C,MID(TRIM(A15),2,7))</f>
        <v>16.9</v>
      </c>
    </row>
    <row r="16" s="1" customFormat="1" ht="21.75" customHeight="1" spans="1:21">
      <c r="A16" s="514" t="s">
        <v>52</v>
      </c>
      <c r="B16" s="515">
        <v>16</v>
      </c>
      <c r="C16" s="515"/>
      <c r="D16" s="515"/>
      <c r="E16" s="515"/>
      <c r="F16" s="515">
        <v>16</v>
      </c>
      <c r="G16" s="515" t="e">
        <f t="shared" si="13"/>
        <v>#REF!</v>
      </c>
      <c r="H16" s="515" t="e">
        <f>SUMIFS('基本支出总表（铁）'!#REF!,'基本支出总表（铁）'!C:C,MID(A16,4,7))</f>
        <v>#REF!</v>
      </c>
      <c r="I16" s="515" t="e">
        <f>SUMIFS('项目支出总表（铁）'!#REF!,'项目支出总表（铁）'!C:C,MID(A16,4,7))+SUMIFS('项目支出总表（铁）'!#REF!,'项目支出总表（铁）'!C:C,MID(A16,4,7))</f>
        <v>#REF!</v>
      </c>
      <c r="J16" s="524" t="e">
        <f t="shared" si="1"/>
        <v>#REF!</v>
      </c>
      <c r="K16" s="524" t="str">
        <f t="shared" si="2"/>
        <v/>
      </c>
      <c r="L16" s="524" t="e">
        <f t="shared" si="3"/>
        <v>#REF!</v>
      </c>
      <c r="N16" s="507" t="s">
        <v>396</v>
      </c>
      <c r="O16" s="509" t="e">
        <f>#REF!/10000-O9</f>
        <v>#REF!</v>
      </c>
      <c r="P16" s="1" t="e">
        <f>O16+'项目支出总表（铁）'!V6</f>
        <v>#REF!</v>
      </c>
      <c r="S16" s="515">
        <f t="shared" si="14"/>
        <v>20.81</v>
      </c>
      <c r="T16" s="515">
        <f>SUMIFS('基本支出总表（铁）'!M:M,'基本支出总表（铁）'!C:C,MID(TRIM(A16),2,7))</f>
        <v>0</v>
      </c>
      <c r="U16" s="515">
        <f>SUMIFS('项目支出总表（铁）'!U:U,'项目支出总表（铁）'!C:C,MID(TRIM(A16),2,7))</f>
        <v>20.81</v>
      </c>
    </row>
    <row r="17" s="1" customFormat="1" ht="21.75" customHeight="1" spans="1:21">
      <c r="A17" s="514" t="s">
        <v>53</v>
      </c>
      <c r="B17" s="515">
        <v>14.9</v>
      </c>
      <c r="C17" s="515"/>
      <c r="D17" s="515"/>
      <c r="E17" s="515"/>
      <c r="F17" s="515">
        <v>14.9</v>
      </c>
      <c r="G17" s="515" t="e">
        <f t="shared" si="13"/>
        <v>#REF!</v>
      </c>
      <c r="H17" s="515" t="e">
        <f>SUMIFS('基本支出总表（铁）'!#REF!,'基本支出总表（铁）'!C:C,MID(A17,4,7))</f>
        <v>#REF!</v>
      </c>
      <c r="I17" s="515" t="e">
        <f>SUMIFS('项目支出总表（铁）'!#REF!,'项目支出总表（铁）'!C:C,MID(A17,4,7))+SUMIFS('项目支出总表（铁）'!#REF!,'项目支出总表（铁）'!C:C,MID(A17,4,7))</f>
        <v>#REF!</v>
      </c>
      <c r="J17" s="524" t="e">
        <f t="shared" si="1"/>
        <v>#REF!</v>
      </c>
      <c r="K17" s="524" t="str">
        <f t="shared" si="2"/>
        <v/>
      </c>
      <c r="L17" s="524" t="e">
        <f t="shared" si="3"/>
        <v>#REF!</v>
      </c>
      <c r="S17" s="515">
        <f t="shared" si="14"/>
        <v>24.95</v>
      </c>
      <c r="T17" s="515">
        <f>SUMIFS('基本支出总表（铁）'!M:M,'基本支出总表（铁）'!C:C,MID(TRIM(A17),2,7))</f>
        <v>0</v>
      </c>
      <c r="U17" s="515">
        <f>SUMIFS('项目支出总表（铁）'!U:U,'项目支出总表（铁）'!C:C,MID(TRIM(A17),2,7))</f>
        <v>24.95</v>
      </c>
    </row>
    <row r="18" s="1" customFormat="1" ht="21.75" customHeight="1" spans="1:21">
      <c r="A18" s="512" t="s">
        <v>54</v>
      </c>
      <c r="B18" s="513">
        <f t="shared" ref="B18:I18" si="15">SUM(B19:B20)</f>
        <v>1888.762684</v>
      </c>
      <c r="C18" s="513">
        <f t="shared" si="15"/>
        <v>1100.762684</v>
      </c>
      <c r="D18" s="513">
        <f t="shared" si="15"/>
        <v>993.838768</v>
      </c>
      <c r="E18" s="513">
        <f t="shared" si="15"/>
        <v>106.923916</v>
      </c>
      <c r="F18" s="513">
        <f t="shared" si="15"/>
        <v>788</v>
      </c>
      <c r="G18" s="513" t="e">
        <f t="shared" si="15"/>
        <v>#REF!</v>
      </c>
      <c r="H18" s="513" t="e">
        <f t="shared" si="15"/>
        <v>#REF!</v>
      </c>
      <c r="I18" s="513" t="e">
        <f t="shared" si="15"/>
        <v>#REF!</v>
      </c>
      <c r="J18" s="523" t="e">
        <f t="shared" ref="J18:J33" si="16">IF(B18=0,"",G18/B18)</f>
        <v>#REF!</v>
      </c>
      <c r="K18" s="523" t="e">
        <f t="shared" ref="K18:K33" si="17">IF(C18=0,"",H18/C18)</f>
        <v>#REF!</v>
      </c>
      <c r="L18" s="523" t="e">
        <f t="shared" ref="L18:L33" si="18">IF(F18=0,"",I18/F18)</f>
        <v>#REF!</v>
      </c>
      <c r="S18" s="513">
        <f t="shared" ref="S18:U18" si="19">SUM(S19:S20)</f>
        <v>1920.482684</v>
      </c>
      <c r="T18" s="513">
        <f t="shared" si="19"/>
        <v>1100.762684</v>
      </c>
      <c r="U18" s="513">
        <f t="shared" si="19"/>
        <v>819.72</v>
      </c>
    </row>
    <row r="19" s="1" customFormat="1" ht="21.75" customHeight="1" spans="1:21">
      <c r="A19" s="514" t="s">
        <v>55</v>
      </c>
      <c r="B19" s="515">
        <v>1100.762684</v>
      </c>
      <c r="C19" s="515">
        <v>1100.762684</v>
      </c>
      <c r="D19" s="515">
        <v>993.838768</v>
      </c>
      <c r="E19" s="515">
        <v>106.923916</v>
      </c>
      <c r="F19" s="515"/>
      <c r="G19" s="515" t="e">
        <f t="shared" ref="G19:G22" si="20">SUM(H19:I19)</f>
        <v>#REF!</v>
      </c>
      <c r="H19" s="515" t="e">
        <f>SUMIFS('基本支出总表（铁）'!#REF!,'基本支出总表（铁）'!C:C,MID(A19,4,7))</f>
        <v>#REF!</v>
      </c>
      <c r="I19" s="515" t="e">
        <f>SUMIFS('项目支出总表（铁）'!#REF!,'项目支出总表（铁）'!C:C,MID(A19,4,7))+SUMIFS('项目支出总表（铁）'!#REF!,'项目支出总表（铁）'!C:C,MID(A19,4,7))</f>
        <v>#REF!</v>
      </c>
      <c r="J19" s="524" t="e">
        <f t="shared" si="16"/>
        <v>#REF!</v>
      </c>
      <c r="K19" s="524" t="e">
        <f t="shared" si="17"/>
        <v>#REF!</v>
      </c>
      <c r="L19" s="524" t="str">
        <f t="shared" si="18"/>
        <v/>
      </c>
      <c r="S19" s="515">
        <f t="shared" ref="S19:S22" si="21">SUM(T19:U19)</f>
        <v>1100.762684</v>
      </c>
      <c r="T19" s="515">
        <f>SUMIFS('基本支出总表（铁）'!M:M,'基本支出总表（铁）'!C:C,MID(TRIM(A19),2,7))</f>
        <v>1100.762684</v>
      </c>
      <c r="U19" s="515">
        <f>SUMIFS('项目支出总表（铁）'!U:U,'项目支出总表（铁）'!C:C,MID(TRIM(A19),2,7))</f>
        <v>0</v>
      </c>
    </row>
    <row r="20" s="1" customFormat="1" ht="21.75" customHeight="1" spans="1:21">
      <c r="A20" s="516" t="s">
        <v>401</v>
      </c>
      <c r="B20" s="515">
        <v>788</v>
      </c>
      <c r="C20" s="515"/>
      <c r="D20" s="515"/>
      <c r="E20" s="515"/>
      <c r="F20" s="515">
        <v>788</v>
      </c>
      <c r="G20" s="515" t="e">
        <f t="shared" si="20"/>
        <v>#REF!</v>
      </c>
      <c r="H20" s="515" t="e">
        <f>SUMIFS('基本支出总表（铁）'!#REF!,'基本支出总表（铁）'!C:C,MID(A20,4,7))</f>
        <v>#REF!</v>
      </c>
      <c r="I20" s="515" t="e">
        <f>SUMIFS('项目支出总表（铁）'!#REF!,'项目支出总表（铁）'!C:C,MID(A20,4,7))+SUMIFS('项目支出总表（铁）'!#REF!,'项目支出总表（铁）'!C:C,MID(A20,4,7))</f>
        <v>#REF!</v>
      </c>
      <c r="J20" s="524" t="e">
        <f t="shared" si="16"/>
        <v>#REF!</v>
      </c>
      <c r="K20" s="524" t="str">
        <f t="shared" si="17"/>
        <v/>
      </c>
      <c r="L20" s="524" t="e">
        <f t="shared" si="18"/>
        <v>#REF!</v>
      </c>
      <c r="S20" s="515">
        <f t="shared" si="21"/>
        <v>819.72</v>
      </c>
      <c r="T20" s="515">
        <f>SUMIFS('基本支出总表（铁）'!M:M,'基本支出总表（铁）'!C:C,MID(TRIM(A20),2,7))</f>
        <v>0</v>
      </c>
      <c r="U20" s="515">
        <f>SUMIFS('项目支出总表（铁）'!U:U,'项目支出总表（铁）'!C:C,MID(TRIM(A20),2,7))</f>
        <v>819.72</v>
      </c>
    </row>
    <row r="21" s="1" customFormat="1" ht="21.75" customHeight="1" spans="1:21">
      <c r="A21" s="512" t="s">
        <v>57</v>
      </c>
      <c r="B21" s="513">
        <f t="shared" ref="B21:I21" si="22">SUM(B22:B22)</f>
        <v>0</v>
      </c>
      <c r="C21" s="513">
        <f t="shared" si="22"/>
        <v>0</v>
      </c>
      <c r="D21" s="513">
        <f t="shared" si="22"/>
        <v>0</v>
      </c>
      <c r="E21" s="513">
        <f t="shared" si="22"/>
        <v>0</v>
      </c>
      <c r="F21" s="513">
        <f t="shared" si="22"/>
        <v>0</v>
      </c>
      <c r="G21" s="513" t="e">
        <f t="shared" si="22"/>
        <v>#REF!</v>
      </c>
      <c r="H21" s="513" t="e">
        <f t="shared" si="22"/>
        <v>#REF!</v>
      </c>
      <c r="I21" s="513" t="e">
        <f t="shared" si="22"/>
        <v>#REF!</v>
      </c>
      <c r="J21" s="523" t="str">
        <f t="shared" si="16"/>
        <v/>
      </c>
      <c r="K21" s="523" t="str">
        <f t="shared" si="17"/>
        <v/>
      </c>
      <c r="L21" s="523" t="str">
        <f t="shared" si="18"/>
        <v/>
      </c>
      <c r="S21" s="513">
        <f t="shared" ref="S21:U21" si="23">SUM(S22:S22)</f>
        <v>5</v>
      </c>
      <c r="T21" s="513">
        <f t="shared" si="23"/>
        <v>0</v>
      </c>
      <c r="U21" s="513">
        <f t="shared" si="23"/>
        <v>5</v>
      </c>
    </row>
    <row r="22" s="1" customFormat="1" ht="21.75" customHeight="1" spans="1:21">
      <c r="A22" s="516" t="s">
        <v>60</v>
      </c>
      <c r="B22" s="515"/>
      <c r="C22" s="515"/>
      <c r="D22" s="515"/>
      <c r="E22" s="515"/>
      <c r="F22" s="515"/>
      <c r="G22" s="515" t="e">
        <f t="shared" si="20"/>
        <v>#REF!</v>
      </c>
      <c r="H22" s="515" t="e">
        <f>SUMIFS('基本支出总表（铁）'!#REF!,'基本支出总表（铁）'!C:C,MID(A22,4,7))</f>
        <v>#REF!</v>
      </c>
      <c r="I22" s="515" t="e">
        <f>SUMIFS('项目支出总表（铁）'!#REF!,'项目支出总表（铁）'!C:C,MID(A22,4,7))+SUMIFS('项目支出总表（铁）'!#REF!,'项目支出总表（铁）'!C:C,MID(A22,4,7))</f>
        <v>#REF!</v>
      </c>
      <c r="J22" s="524" t="str">
        <f t="shared" si="16"/>
        <v/>
      </c>
      <c r="K22" s="524" t="str">
        <f t="shared" si="17"/>
        <v/>
      </c>
      <c r="L22" s="524" t="str">
        <f t="shared" si="18"/>
        <v/>
      </c>
      <c r="S22" s="515">
        <f t="shared" si="21"/>
        <v>5</v>
      </c>
      <c r="T22" s="515">
        <f>SUMIFS('基本支出总表（铁）'!M:M,'基本支出总表（铁）'!C:C,MID(TRIM(A22),2,7))</f>
        <v>0</v>
      </c>
      <c r="U22" s="515">
        <f>SUMIFS('项目支出总表（铁）'!U:U,'项目支出总表（铁）'!C:C,MID(TRIM(A22),2,7))</f>
        <v>5</v>
      </c>
    </row>
    <row r="23" s="1" customFormat="1" ht="21.75" customHeight="1" spans="1:21">
      <c r="A23" s="517" t="s">
        <v>402</v>
      </c>
      <c r="B23" s="513">
        <f t="shared" ref="B23:I23" si="24">SUM(B24)</f>
        <v>0</v>
      </c>
      <c r="C23" s="513">
        <f t="shared" si="24"/>
        <v>0</v>
      </c>
      <c r="D23" s="513">
        <f t="shared" si="24"/>
        <v>0</v>
      </c>
      <c r="E23" s="513">
        <f t="shared" si="24"/>
        <v>0</v>
      </c>
      <c r="F23" s="513">
        <f t="shared" si="24"/>
        <v>0</v>
      </c>
      <c r="G23" s="513" t="e">
        <f t="shared" si="24"/>
        <v>#REF!</v>
      </c>
      <c r="H23" s="513" t="e">
        <f t="shared" si="24"/>
        <v>#REF!</v>
      </c>
      <c r="I23" s="513" t="e">
        <f t="shared" si="24"/>
        <v>#REF!</v>
      </c>
      <c r="J23" s="523" t="str">
        <f t="shared" si="16"/>
        <v/>
      </c>
      <c r="K23" s="523" t="str">
        <f t="shared" si="17"/>
        <v/>
      </c>
      <c r="L23" s="523" t="str">
        <f t="shared" si="18"/>
        <v/>
      </c>
      <c r="S23" s="513">
        <f t="shared" ref="S23:U23" si="25">SUM(S24)</f>
        <v>2</v>
      </c>
      <c r="T23" s="513">
        <f t="shared" si="25"/>
        <v>0</v>
      </c>
      <c r="U23" s="513">
        <f t="shared" si="25"/>
        <v>2</v>
      </c>
    </row>
    <row r="24" s="1" customFormat="1" ht="21.75" customHeight="1" spans="1:21">
      <c r="A24" s="516" t="s">
        <v>68</v>
      </c>
      <c r="B24" s="515"/>
      <c r="C24" s="515"/>
      <c r="D24" s="515"/>
      <c r="E24" s="515"/>
      <c r="F24" s="515"/>
      <c r="G24" s="515" t="e">
        <f>SUM(H24:I24)</f>
        <v>#REF!</v>
      </c>
      <c r="H24" s="515" t="e">
        <f>SUMIFS('基本支出总表（铁）'!#REF!,'基本支出总表（铁）'!C:C,MID(A24,4,7))</f>
        <v>#REF!</v>
      </c>
      <c r="I24" s="515" t="e">
        <f>SUMIFS('项目支出总表（铁）'!#REF!,'项目支出总表（铁）'!C:C,MID(A24,4,7))+SUMIFS('项目支出总表（铁）'!#REF!,'项目支出总表（铁）'!C:C,MID(A24,4,7))</f>
        <v>#REF!</v>
      </c>
      <c r="J24" s="524" t="str">
        <f t="shared" si="16"/>
        <v/>
      </c>
      <c r="K24" s="524" t="str">
        <f t="shared" si="17"/>
        <v/>
      </c>
      <c r="L24" s="524" t="str">
        <f t="shared" si="18"/>
        <v/>
      </c>
      <c r="S24" s="515">
        <f>SUM(T24:U24)</f>
        <v>2</v>
      </c>
      <c r="T24" s="515">
        <f>SUMIFS('基本支出总表（铁）'!M:M,'基本支出总表（铁）'!C:C,MID(TRIM(A24),2,7))</f>
        <v>0</v>
      </c>
      <c r="U24" s="515">
        <f>SUMIFS('项目支出总表（铁）'!U:U,'项目支出总表（铁）'!C:C,MID(TRIM(A24),2,7))</f>
        <v>2</v>
      </c>
    </row>
    <row r="25" s="1" customFormat="1" ht="21.75" customHeight="1" spans="1:21">
      <c r="A25" s="512" t="s">
        <v>72</v>
      </c>
      <c r="B25" s="513">
        <f t="shared" ref="B25:I25" si="26">SUM(B26)</f>
        <v>600</v>
      </c>
      <c r="C25" s="513">
        <f t="shared" si="26"/>
        <v>0</v>
      </c>
      <c r="D25" s="513">
        <f t="shared" si="26"/>
        <v>0</v>
      </c>
      <c r="E25" s="513">
        <f t="shared" si="26"/>
        <v>0</v>
      </c>
      <c r="F25" s="513">
        <f t="shared" si="26"/>
        <v>600</v>
      </c>
      <c r="G25" s="513" t="e">
        <f t="shared" si="26"/>
        <v>#REF!</v>
      </c>
      <c r="H25" s="513" t="e">
        <f t="shared" si="26"/>
        <v>#REF!</v>
      </c>
      <c r="I25" s="513" t="e">
        <f t="shared" si="26"/>
        <v>#REF!</v>
      </c>
      <c r="J25" s="523" t="e">
        <f t="shared" si="16"/>
        <v>#REF!</v>
      </c>
      <c r="K25" s="523" t="str">
        <f t="shared" si="17"/>
        <v/>
      </c>
      <c r="L25" s="523" t="e">
        <f t="shared" si="18"/>
        <v>#REF!</v>
      </c>
      <c r="S25" s="513">
        <f t="shared" ref="S25:U25" si="27">SUM(S26)</f>
        <v>600</v>
      </c>
      <c r="T25" s="513">
        <f t="shared" si="27"/>
        <v>0</v>
      </c>
      <c r="U25" s="513">
        <f t="shared" si="27"/>
        <v>600</v>
      </c>
    </row>
    <row r="26" s="1" customFormat="1" ht="21.75" customHeight="1" spans="1:21">
      <c r="A26" s="514" t="s">
        <v>73</v>
      </c>
      <c r="B26" s="515">
        <v>600</v>
      </c>
      <c r="C26" s="515"/>
      <c r="D26" s="515"/>
      <c r="E26" s="515"/>
      <c r="F26" s="515">
        <v>600</v>
      </c>
      <c r="G26" s="515" t="e">
        <f t="shared" ref="G26:G31" si="28">SUM(H26:I26)</f>
        <v>#REF!</v>
      </c>
      <c r="H26" s="515" t="e">
        <f>SUMIFS('基本支出总表（铁）'!#REF!,'基本支出总表（铁）'!C:C,MID(A26,4,7))</f>
        <v>#REF!</v>
      </c>
      <c r="I26" s="515" t="e">
        <f>SUMIFS('项目支出总表（铁）'!#REF!,'项目支出总表（铁）'!C:C,MID(A26,4,7))+SUMIFS('项目支出总表（铁）'!#REF!,'项目支出总表（铁）'!C:C,MID(A26,4,7))</f>
        <v>#REF!</v>
      </c>
      <c r="J26" s="524" t="e">
        <f t="shared" si="16"/>
        <v>#REF!</v>
      </c>
      <c r="K26" s="524" t="str">
        <f t="shared" si="17"/>
        <v/>
      </c>
      <c r="L26" s="524" t="e">
        <f t="shared" si="18"/>
        <v>#REF!</v>
      </c>
      <c r="S26" s="515">
        <f t="shared" ref="S26:S31" si="29">SUM(T26:U26)</f>
        <v>600</v>
      </c>
      <c r="T26" s="515">
        <f>SUMIFS('基本支出总表（铁）'!M:M,'基本支出总表（铁）'!C:C,MID(TRIM(A26),2,7))</f>
        <v>0</v>
      </c>
      <c r="U26" s="515">
        <f>SUMIFS('项目支出总表（铁）'!U:U,'项目支出总表（铁）'!C:C,MID(TRIM(A26),2,7))</f>
        <v>600</v>
      </c>
    </row>
    <row r="27" s="1" customFormat="1" ht="21.75" customHeight="1" spans="1:21">
      <c r="A27" s="510" t="s">
        <v>132</v>
      </c>
      <c r="B27" s="511">
        <f t="shared" ref="B27:I27" si="30">B28+B32</f>
        <v>7909.943653</v>
      </c>
      <c r="C27" s="511">
        <f t="shared" si="30"/>
        <v>7277.663653</v>
      </c>
      <c r="D27" s="511">
        <f t="shared" si="30"/>
        <v>7083.199968</v>
      </c>
      <c r="E27" s="511">
        <f t="shared" si="30"/>
        <v>194.463685</v>
      </c>
      <c r="F27" s="511">
        <f t="shared" si="30"/>
        <v>632.28</v>
      </c>
      <c r="G27" s="511" t="e">
        <f t="shared" si="30"/>
        <v>#REF!</v>
      </c>
      <c r="H27" s="511" t="e">
        <f t="shared" si="30"/>
        <v>#REF!</v>
      </c>
      <c r="I27" s="511" t="e">
        <f t="shared" si="30"/>
        <v>#REF!</v>
      </c>
      <c r="J27" s="522" t="e">
        <f t="shared" si="16"/>
        <v>#REF!</v>
      </c>
      <c r="K27" s="522" t="e">
        <f t="shared" si="17"/>
        <v>#REF!</v>
      </c>
      <c r="L27" s="522" t="e">
        <f t="shared" si="18"/>
        <v>#REF!</v>
      </c>
      <c r="S27" s="511">
        <f t="shared" ref="S27:U27" si="31">S28+S32</f>
        <v>8265.403653</v>
      </c>
      <c r="T27" s="511">
        <f t="shared" si="31"/>
        <v>6935.663653</v>
      </c>
      <c r="U27" s="511">
        <f t="shared" si="31"/>
        <v>1329.74</v>
      </c>
    </row>
    <row r="28" s="1" customFormat="1" ht="21.75" customHeight="1" spans="1:21">
      <c r="A28" s="512" t="s">
        <v>136</v>
      </c>
      <c r="B28" s="513">
        <f t="shared" ref="B28:I28" si="32">SUM(B29:B31)</f>
        <v>7609.943653</v>
      </c>
      <c r="C28" s="513">
        <f t="shared" si="32"/>
        <v>7277.663653</v>
      </c>
      <c r="D28" s="513">
        <f t="shared" si="32"/>
        <v>7083.199968</v>
      </c>
      <c r="E28" s="513">
        <f t="shared" si="32"/>
        <v>194.463685</v>
      </c>
      <c r="F28" s="513">
        <f t="shared" si="32"/>
        <v>332.28</v>
      </c>
      <c r="G28" s="513" t="e">
        <f t="shared" si="32"/>
        <v>#REF!</v>
      </c>
      <c r="H28" s="513" t="e">
        <f t="shared" si="32"/>
        <v>#REF!</v>
      </c>
      <c r="I28" s="513" t="e">
        <f t="shared" si="32"/>
        <v>#REF!</v>
      </c>
      <c r="J28" s="523" t="e">
        <f t="shared" si="16"/>
        <v>#REF!</v>
      </c>
      <c r="K28" s="523" t="e">
        <f t="shared" si="17"/>
        <v>#REF!</v>
      </c>
      <c r="L28" s="523" t="e">
        <f t="shared" si="18"/>
        <v>#REF!</v>
      </c>
      <c r="S28" s="513">
        <f t="shared" ref="S28:U28" si="33">SUM(S29:S31)</f>
        <v>7965.403653</v>
      </c>
      <c r="T28" s="513">
        <f t="shared" si="33"/>
        <v>6935.663653</v>
      </c>
      <c r="U28" s="513">
        <f t="shared" si="33"/>
        <v>1029.74</v>
      </c>
    </row>
    <row r="29" s="1" customFormat="1" ht="21.75" customHeight="1" spans="1:21">
      <c r="A29" s="514" t="s">
        <v>137</v>
      </c>
      <c r="B29" s="515">
        <v>117.1</v>
      </c>
      <c r="C29" s="515"/>
      <c r="D29" s="515"/>
      <c r="E29" s="515"/>
      <c r="F29" s="515">
        <v>117.1</v>
      </c>
      <c r="G29" s="515" t="e">
        <f t="shared" si="28"/>
        <v>#REF!</v>
      </c>
      <c r="H29" s="515" t="e">
        <f>SUMIFS('基本支出总表（铁）'!#REF!,'基本支出总表（铁）'!C:C,MID(A29,4,7))</f>
        <v>#REF!</v>
      </c>
      <c r="I29" s="515" t="e">
        <f>SUMIFS('项目支出总表（铁）'!#REF!,'项目支出总表（铁）'!C:C,MID(A29,4,7))+SUMIFS('项目支出总表（铁）'!#REF!,'项目支出总表（铁）'!C:C,MID(A29,4,7))</f>
        <v>#REF!</v>
      </c>
      <c r="J29" s="524" t="e">
        <f t="shared" si="16"/>
        <v>#REF!</v>
      </c>
      <c r="K29" s="524" t="str">
        <f t="shared" si="17"/>
        <v/>
      </c>
      <c r="L29" s="524" t="e">
        <f t="shared" si="18"/>
        <v>#REF!</v>
      </c>
      <c r="S29" s="515">
        <f t="shared" si="29"/>
        <v>120.72</v>
      </c>
      <c r="T29" s="515">
        <f>SUMIFS('基本支出总表（铁）'!M:M,'基本支出总表（铁）'!C:C,MID(TRIM(A29),2,7))</f>
        <v>0</v>
      </c>
      <c r="U29" s="515">
        <f>SUMIFS('项目支出总表（铁）'!U:U,'项目支出总表（铁）'!C:C,MID(TRIM(A29),2,7))</f>
        <v>120.72</v>
      </c>
    </row>
    <row r="30" s="1" customFormat="1" ht="21.75" customHeight="1" spans="1:21">
      <c r="A30" s="514" t="s">
        <v>138</v>
      </c>
      <c r="B30" s="515">
        <v>4608.767634</v>
      </c>
      <c r="C30" s="515">
        <v>4471.617634</v>
      </c>
      <c r="D30" s="515">
        <v>4349.38861</v>
      </c>
      <c r="E30" s="515">
        <v>122.229024</v>
      </c>
      <c r="F30" s="515">
        <v>137.15</v>
      </c>
      <c r="G30" s="515" t="e">
        <f t="shared" si="28"/>
        <v>#REF!</v>
      </c>
      <c r="H30" s="515" t="e">
        <f>SUMIFS('基本支出总表（铁）'!#REF!,'基本支出总表（铁）'!C:C,MID(A30,4,7))</f>
        <v>#REF!</v>
      </c>
      <c r="I30" s="515" t="e">
        <f>SUMIFS('项目支出总表（铁）'!#REF!,'项目支出总表（铁）'!C:C,MID(A30,4,7))+SUMIFS('项目支出总表（铁）'!#REF!,'项目支出总表（铁）'!C:C,MID(A30,4,7))</f>
        <v>#REF!</v>
      </c>
      <c r="J30" s="524" t="e">
        <f t="shared" si="16"/>
        <v>#REF!</v>
      </c>
      <c r="K30" s="524" t="e">
        <f t="shared" si="17"/>
        <v>#REF!</v>
      </c>
      <c r="L30" s="524" t="e">
        <f t="shared" si="18"/>
        <v>#REF!</v>
      </c>
      <c r="S30" s="515">
        <f t="shared" si="29"/>
        <v>5040.877634</v>
      </c>
      <c r="T30" s="515">
        <f>SUMIFS('基本支出总表（铁）'!M:M,'基本支出总表（铁）'!C:C,MID(TRIM(A30),2,7))</f>
        <v>4239.617634</v>
      </c>
      <c r="U30" s="515">
        <f>SUMIFS('项目支出总表（铁）'!U:U,'项目支出总表（铁）'!C:C,MID(TRIM(A30),2,7))</f>
        <v>801.26</v>
      </c>
    </row>
    <row r="31" s="1" customFormat="1" ht="21.75" customHeight="1" spans="1:21">
      <c r="A31" s="514" t="s">
        <v>139</v>
      </c>
      <c r="B31" s="515">
        <v>2884.076019</v>
      </c>
      <c r="C31" s="515">
        <v>2806.046019</v>
      </c>
      <c r="D31" s="515">
        <v>2733.811358</v>
      </c>
      <c r="E31" s="515">
        <v>72.234661</v>
      </c>
      <c r="F31" s="515">
        <v>78.03</v>
      </c>
      <c r="G31" s="515" t="e">
        <f t="shared" si="28"/>
        <v>#REF!</v>
      </c>
      <c r="H31" s="515" t="e">
        <f>SUMIFS('基本支出总表（铁）'!#REF!,'基本支出总表（铁）'!C:C,MID(A31,4,7))</f>
        <v>#REF!</v>
      </c>
      <c r="I31" s="515" t="e">
        <f>SUMIFS('项目支出总表（铁）'!#REF!,'项目支出总表（铁）'!C:C,MID(A31,4,7))+SUMIFS('项目支出总表（铁）'!#REF!,'项目支出总表（铁）'!C:C,MID(A31,4,7))</f>
        <v>#REF!</v>
      </c>
      <c r="J31" s="524" t="e">
        <f t="shared" si="16"/>
        <v>#REF!</v>
      </c>
      <c r="K31" s="524" t="e">
        <f t="shared" si="17"/>
        <v>#REF!</v>
      </c>
      <c r="L31" s="524" t="e">
        <f t="shared" si="18"/>
        <v>#REF!</v>
      </c>
      <c r="S31" s="515">
        <f t="shared" si="29"/>
        <v>2803.806019</v>
      </c>
      <c r="T31" s="515">
        <f>SUMIFS('基本支出总表（铁）'!M:M,'基本支出总表（铁）'!C:C,MID(TRIM(A31),2,7))</f>
        <v>2696.046019</v>
      </c>
      <c r="U31" s="515">
        <f>SUMIFS('项目支出总表（铁）'!U:U,'项目支出总表（铁）'!C:C,MID(TRIM(A31),2,7))</f>
        <v>107.76</v>
      </c>
    </row>
    <row r="32" s="1" customFormat="1" ht="21.75" customHeight="1" spans="1:21">
      <c r="A32" s="512" t="s">
        <v>140</v>
      </c>
      <c r="B32" s="513">
        <f t="shared" ref="B32:I32" si="34">SUM(B33)</f>
        <v>300</v>
      </c>
      <c r="C32" s="513">
        <f t="shared" si="34"/>
        <v>0</v>
      </c>
      <c r="D32" s="513">
        <f t="shared" si="34"/>
        <v>0</v>
      </c>
      <c r="E32" s="513">
        <f t="shared" si="34"/>
        <v>0</v>
      </c>
      <c r="F32" s="513">
        <f t="shared" si="34"/>
        <v>300</v>
      </c>
      <c r="G32" s="513" t="e">
        <f t="shared" si="34"/>
        <v>#REF!</v>
      </c>
      <c r="H32" s="513" t="e">
        <f t="shared" si="34"/>
        <v>#REF!</v>
      </c>
      <c r="I32" s="513" t="e">
        <f t="shared" si="34"/>
        <v>#REF!</v>
      </c>
      <c r="J32" s="523" t="e">
        <f t="shared" si="16"/>
        <v>#REF!</v>
      </c>
      <c r="K32" s="523" t="str">
        <f t="shared" si="17"/>
        <v/>
      </c>
      <c r="L32" s="523" t="e">
        <f t="shared" si="18"/>
        <v>#REF!</v>
      </c>
      <c r="S32" s="513">
        <f t="shared" ref="S32:U32" si="35">SUM(S33)</f>
        <v>300</v>
      </c>
      <c r="T32" s="513">
        <f t="shared" si="35"/>
        <v>0</v>
      </c>
      <c r="U32" s="513">
        <f t="shared" si="35"/>
        <v>300</v>
      </c>
    </row>
    <row r="33" s="1" customFormat="1" ht="21.75" customHeight="1" spans="1:21">
      <c r="A33" s="514" t="s">
        <v>141</v>
      </c>
      <c r="B33" s="515">
        <v>300</v>
      </c>
      <c r="C33" s="515"/>
      <c r="D33" s="515"/>
      <c r="E33" s="515"/>
      <c r="F33" s="515">
        <v>300</v>
      </c>
      <c r="G33" s="515" t="e">
        <f t="shared" ref="G33:G39" si="36">SUM(H33:I33)</f>
        <v>#REF!</v>
      </c>
      <c r="H33" s="515" t="e">
        <f>SUMIFS('基本支出总表（铁）'!#REF!,'基本支出总表（铁）'!C:C,MID(A33,4,7))</f>
        <v>#REF!</v>
      </c>
      <c r="I33" s="515" t="e">
        <f>SUMIFS('项目支出总表（铁）'!#REF!,'项目支出总表（铁）'!C:C,MID(A33,4,7))+SUMIFS('项目支出总表（铁）'!#REF!,'项目支出总表（铁）'!C:C,MID(A33,4,7))</f>
        <v>#REF!</v>
      </c>
      <c r="J33" s="524" t="e">
        <f t="shared" si="16"/>
        <v>#REF!</v>
      </c>
      <c r="K33" s="524" t="str">
        <f t="shared" si="17"/>
        <v/>
      </c>
      <c r="L33" s="524" t="e">
        <f t="shared" si="18"/>
        <v>#REF!</v>
      </c>
      <c r="S33" s="515">
        <f t="shared" ref="S33:S39" si="37">SUM(T33:U33)</f>
        <v>300</v>
      </c>
      <c r="T33" s="515">
        <f>SUMIFS('基本支出总表（铁）'!M:M,'基本支出总表（铁）'!C:C,MID(TRIM(A33),2,7))</f>
        <v>0</v>
      </c>
      <c r="U33" s="515">
        <f>SUMIFS('项目支出总表（铁）'!U:U,'项目支出总表（铁）'!C:C,MID(TRIM(A33),2,7))</f>
        <v>300</v>
      </c>
    </row>
    <row r="34" s="1" customFormat="1" ht="21.75" customHeight="1" spans="1:21">
      <c r="A34" s="510" t="s">
        <v>163</v>
      </c>
      <c r="B34" s="511">
        <f t="shared" ref="B34:I34" si="38">B35+B37+B40</f>
        <v>2800.11</v>
      </c>
      <c r="C34" s="511">
        <f t="shared" si="38"/>
        <v>0</v>
      </c>
      <c r="D34" s="511">
        <f t="shared" si="38"/>
        <v>0</v>
      </c>
      <c r="E34" s="511">
        <f t="shared" si="38"/>
        <v>0</v>
      </c>
      <c r="F34" s="511">
        <f t="shared" si="38"/>
        <v>2800.11</v>
      </c>
      <c r="G34" s="511" t="e">
        <f t="shared" si="38"/>
        <v>#REF!</v>
      </c>
      <c r="H34" s="511" t="e">
        <f t="shared" si="38"/>
        <v>#REF!</v>
      </c>
      <c r="I34" s="511" t="e">
        <f t="shared" si="38"/>
        <v>#REF!</v>
      </c>
      <c r="J34" s="522" t="e">
        <f t="shared" ref="J34:J39" si="39">IF(B34=0,"",G34/B34)</f>
        <v>#REF!</v>
      </c>
      <c r="K34" s="522" t="str">
        <f t="shared" ref="K34:K39" si="40">IF(C34=0,"",H34/C34)</f>
        <v/>
      </c>
      <c r="L34" s="522" t="e">
        <f t="shared" ref="L34:L39" si="41">IF(F34=0,"",I34/F34)</f>
        <v>#REF!</v>
      </c>
      <c r="S34" s="511">
        <f t="shared" ref="S34:U34" si="42">S35+S37+S40</f>
        <v>2572.42</v>
      </c>
      <c r="T34" s="511">
        <f t="shared" si="42"/>
        <v>0</v>
      </c>
      <c r="U34" s="511">
        <f t="shared" si="42"/>
        <v>2572.42</v>
      </c>
    </row>
    <row r="35" s="1" customFormat="1" ht="21.75" customHeight="1" spans="1:21">
      <c r="A35" s="512" t="s">
        <v>169</v>
      </c>
      <c r="B35" s="513">
        <f t="shared" ref="B35:I35" si="43">SUM(B36)</f>
        <v>796.92</v>
      </c>
      <c r="C35" s="513">
        <f t="shared" si="43"/>
        <v>0</v>
      </c>
      <c r="D35" s="513">
        <f t="shared" si="43"/>
        <v>0</v>
      </c>
      <c r="E35" s="513">
        <f t="shared" si="43"/>
        <v>0</v>
      </c>
      <c r="F35" s="513">
        <f t="shared" si="43"/>
        <v>796.92</v>
      </c>
      <c r="G35" s="513" t="e">
        <f t="shared" si="43"/>
        <v>#REF!</v>
      </c>
      <c r="H35" s="513" t="e">
        <f t="shared" si="43"/>
        <v>#REF!</v>
      </c>
      <c r="I35" s="513" t="e">
        <f t="shared" si="43"/>
        <v>#REF!</v>
      </c>
      <c r="J35" s="523" t="e">
        <f t="shared" si="39"/>
        <v>#REF!</v>
      </c>
      <c r="K35" s="523" t="str">
        <f t="shared" si="40"/>
        <v/>
      </c>
      <c r="L35" s="523" t="e">
        <f t="shared" si="41"/>
        <v>#REF!</v>
      </c>
      <c r="S35" s="513">
        <f t="shared" ref="S35:U35" si="44">SUM(S36)</f>
        <v>988.92</v>
      </c>
      <c r="T35" s="513">
        <f t="shared" si="44"/>
        <v>0</v>
      </c>
      <c r="U35" s="513">
        <f t="shared" si="44"/>
        <v>988.92</v>
      </c>
    </row>
    <row r="36" s="1" customFormat="1" ht="21.75" customHeight="1" spans="1:21">
      <c r="A36" s="514" t="s">
        <v>172</v>
      </c>
      <c r="B36" s="515">
        <v>796.92</v>
      </c>
      <c r="C36" s="515"/>
      <c r="D36" s="515"/>
      <c r="E36" s="515"/>
      <c r="F36" s="515">
        <v>796.92</v>
      </c>
      <c r="G36" s="515" t="e">
        <f t="shared" si="36"/>
        <v>#REF!</v>
      </c>
      <c r="H36" s="515" t="e">
        <f>SUMIFS('基本支出总表（铁）'!#REF!,'基本支出总表（铁）'!C:C,MID(A36,4,7))</f>
        <v>#REF!</v>
      </c>
      <c r="I36" s="515" t="e">
        <f>SUMIFS('项目支出总表（铁）'!#REF!,'项目支出总表（铁）'!C:C,MID(A36,4,7))+SUMIFS('项目支出总表（铁）'!#REF!,'项目支出总表（铁）'!C:C,MID(A36,4,7))</f>
        <v>#REF!</v>
      </c>
      <c r="J36" s="524" t="e">
        <f t="shared" si="39"/>
        <v>#REF!</v>
      </c>
      <c r="K36" s="524" t="str">
        <f t="shared" si="40"/>
        <v/>
      </c>
      <c r="L36" s="524" t="e">
        <f t="shared" si="41"/>
        <v>#REF!</v>
      </c>
      <c r="S36" s="515">
        <f t="shared" si="37"/>
        <v>988.92</v>
      </c>
      <c r="T36" s="515">
        <f>SUMIFS('基本支出总表（铁）'!M:M,'基本支出总表（铁）'!C:C,MID(TRIM(A36),2,7))</f>
        <v>0</v>
      </c>
      <c r="U36" s="515">
        <f>SUMIFS('项目支出总表（铁）'!U:U,'项目支出总表（铁）'!C:C,MID(TRIM(A36),2,7))</f>
        <v>988.92</v>
      </c>
    </row>
    <row r="37" s="1" customFormat="1" ht="21.75" customHeight="1" spans="1:21">
      <c r="A37" s="512" t="s">
        <v>173</v>
      </c>
      <c r="B37" s="513">
        <f t="shared" ref="B37:I37" si="45">SUM(B38:B39)</f>
        <v>1900</v>
      </c>
      <c r="C37" s="513">
        <f t="shared" si="45"/>
        <v>0</v>
      </c>
      <c r="D37" s="513">
        <f t="shared" si="45"/>
        <v>0</v>
      </c>
      <c r="E37" s="513">
        <f t="shared" si="45"/>
        <v>0</v>
      </c>
      <c r="F37" s="513">
        <f t="shared" si="45"/>
        <v>1900</v>
      </c>
      <c r="G37" s="513" t="e">
        <f t="shared" si="45"/>
        <v>#REF!</v>
      </c>
      <c r="H37" s="513" t="e">
        <f t="shared" si="45"/>
        <v>#REF!</v>
      </c>
      <c r="I37" s="513" t="e">
        <f t="shared" si="45"/>
        <v>#REF!</v>
      </c>
      <c r="J37" s="523" t="e">
        <f t="shared" si="39"/>
        <v>#REF!</v>
      </c>
      <c r="K37" s="523" t="str">
        <f t="shared" si="40"/>
        <v/>
      </c>
      <c r="L37" s="523" t="e">
        <f t="shared" si="41"/>
        <v>#REF!</v>
      </c>
      <c r="S37" s="513">
        <f t="shared" ref="S37:U37" si="46">SUM(S38:S39)</f>
        <v>1476</v>
      </c>
      <c r="T37" s="513">
        <f t="shared" si="46"/>
        <v>0</v>
      </c>
      <c r="U37" s="513">
        <f t="shared" si="46"/>
        <v>1476</v>
      </c>
    </row>
    <row r="38" s="1" customFormat="1" ht="21.75" customHeight="1" spans="1:21">
      <c r="A38" s="514" t="s">
        <v>174</v>
      </c>
      <c r="B38" s="515">
        <v>1900</v>
      </c>
      <c r="C38" s="515"/>
      <c r="D38" s="515"/>
      <c r="E38" s="515"/>
      <c r="F38" s="515">
        <v>1900</v>
      </c>
      <c r="G38" s="515" t="e">
        <f t="shared" si="36"/>
        <v>#REF!</v>
      </c>
      <c r="H38" s="515" t="e">
        <f>SUMIFS('基本支出总表（铁）'!#REF!,'基本支出总表（铁）'!C:C,MID(A38,4,7))</f>
        <v>#REF!</v>
      </c>
      <c r="I38" s="515" t="e">
        <f>SUMIFS('项目支出总表（铁）'!#REF!,'项目支出总表（铁）'!C:C,MID(A38,4,7))+SUMIFS('项目支出总表（铁）'!#REF!,'项目支出总表（铁）'!C:C,MID(A38,4,7))</f>
        <v>#REF!</v>
      </c>
      <c r="J38" s="524" t="e">
        <f t="shared" si="39"/>
        <v>#REF!</v>
      </c>
      <c r="K38" s="524" t="str">
        <f t="shared" si="40"/>
        <v/>
      </c>
      <c r="L38" s="524" t="e">
        <f t="shared" si="41"/>
        <v>#REF!</v>
      </c>
      <c r="S38" s="515">
        <f t="shared" si="37"/>
        <v>1289</v>
      </c>
      <c r="T38" s="515">
        <f>SUMIFS('基本支出总表（铁）'!M:M,'基本支出总表（铁）'!C:C,MID(TRIM(A38),2,7))</f>
        <v>0</v>
      </c>
      <c r="U38" s="515">
        <f>SUMIFS('项目支出总表（铁）'!U:U,'项目支出总表（铁）'!C:C,MID(TRIM(A38),2,7))</f>
        <v>1289</v>
      </c>
    </row>
    <row r="39" s="1" customFormat="1" ht="21.75" customHeight="1" spans="1:21">
      <c r="A39" s="516" t="s">
        <v>175</v>
      </c>
      <c r="B39" s="515"/>
      <c r="C39" s="515"/>
      <c r="D39" s="515"/>
      <c r="E39" s="515"/>
      <c r="F39" s="515"/>
      <c r="G39" s="515" t="e">
        <f t="shared" si="36"/>
        <v>#REF!</v>
      </c>
      <c r="H39" s="515" t="e">
        <f>SUMIFS('基本支出总表（铁）'!#REF!,'基本支出总表（铁）'!C:C,MID(A39,4,7))</f>
        <v>#REF!</v>
      </c>
      <c r="I39" s="515" t="e">
        <f>SUMIFS('项目支出总表（铁）'!#REF!,'项目支出总表（铁）'!C:C,MID(A39,4,7))+SUMIFS('项目支出总表（铁）'!#REF!,'项目支出总表（铁）'!C:C,MID(A39,4,7))</f>
        <v>#REF!</v>
      </c>
      <c r="J39" s="524" t="str">
        <f t="shared" si="39"/>
        <v/>
      </c>
      <c r="K39" s="524" t="str">
        <f t="shared" si="40"/>
        <v/>
      </c>
      <c r="L39" s="524" t="str">
        <f t="shared" si="41"/>
        <v/>
      </c>
      <c r="S39" s="515">
        <f t="shared" si="37"/>
        <v>187</v>
      </c>
      <c r="T39" s="515">
        <f>SUMIFS('基本支出总表（铁）'!M:M,'基本支出总表（铁）'!C:C,MID(TRIM(A39),2,7))</f>
        <v>0</v>
      </c>
      <c r="U39" s="515">
        <f>SUMIFS('项目支出总表（铁）'!U:U,'项目支出总表（铁）'!C:C,MID(TRIM(A39),2,7))</f>
        <v>187</v>
      </c>
    </row>
    <row r="40" s="1" customFormat="1" ht="21.75" customHeight="1" spans="1:21">
      <c r="A40" s="512" t="s">
        <v>200</v>
      </c>
      <c r="B40" s="513">
        <f t="shared" ref="B40:I40" si="47">SUM(B41)</f>
        <v>103.19</v>
      </c>
      <c r="C40" s="513">
        <f t="shared" si="47"/>
        <v>0</v>
      </c>
      <c r="D40" s="513">
        <f t="shared" si="47"/>
        <v>0</v>
      </c>
      <c r="E40" s="513">
        <f t="shared" si="47"/>
        <v>0</v>
      </c>
      <c r="F40" s="513">
        <f t="shared" si="47"/>
        <v>103.19</v>
      </c>
      <c r="G40" s="513" t="e">
        <f t="shared" si="47"/>
        <v>#REF!</v>
      </c>
      <c r="H40" s="513" t="e">
        <f t="shared" si="47"/>
        <v>#REF!</v>
      </c>
      <c r="I40" s="513" t="e">
        <f t="shared" si="47"/>
        <v>#REF!</v>
      </c>
      <c r="J40" s="523" t="e">
        <f t="shared" ref="J40:J75" si="48">IF(B40=0,"",G40/B40)</f>
        <v>#REF!</v>
      </c>
      <c r="K40" s="523" t="str">
        <f t="shared" ref="K40:K75" si="49">IF(C40=0,"",H40/C40)</f>
        <v/>
      </c>
      <c r="L40" s="523" t="e">
        <f t="shared" ref="L40:L75" si="50">IF(F40=0,"",I40/F40)</f>
        <v>#REF!</v>
      </c>
      <c r="S40" s="513">
        <f t="shared" ref="S40:U40" si="51">SUM(S41)</f>
        <v>107.5</v>
      </c>
      <c r="T40" s="513">
        <f t="shared" si="51"/>
        <v>0</v>
      </c>
      <c r="U40" s="513">
        <f t="shared" si="51"/>
        <v>107.5</v>
      </c>
    </row>
    <row r="41" s="1" customFormat="1" ht="21.75" customHeight="1" spans="1:21">
      <c r="A41" s="514" t="s">
        <v>201</v>
      </c>
      <c r="B41" s="515">
        <v>103.19</v>
      </c>
      <c r="C41" s="515"/>
      <c r="D41" s="515"/>
      <c r="E41" s="515"/>
      <c r="F41" s="515">
        <v>103.19</v>
      </c>
      <c r="G41" s="515" t="e">
        <f t="shared" ref="G41:G47" si="52">SUM(H41:I41)</f>
        <v>#REF!</v>
      </c>
      <c r="H41" s="515" t="e">
        <f>SUMIFS('基本支出总表（铁）'!#REF!,'基本支出总表（铁）'!C:C,MID(A41,4,7))</f>
        <v>#REF!</v>
      </c>
      <c r="I41" s="515" t="e">
        <f>SUMIFS('项目支出总表（铁）'!#REF!,'项目支出总表（铁）'!C:C,MID(A41,4,7))+SUMIFS('项目支出总表（铁）'!#REF!,'项目支出总表（铁）'!C:C,MID(A41,4,7))</f>
        <v>#REF!</v>
      </c>
      <c r="J41" s="524" t="e">
        <f t="shared" si="48"/>
        <v>#REF!</v>
      </c>
      <c r="K41" s="524" t="str">
        <f t="shared" si="49"/>
        <v/>
      </c>
      <c r="L41" s="524" t="e">
        <f t="shared" si="50"/>
        <v>#REF!</v>
      </c>
      <c r="S41" s="515">
        <f t="shared" ref="S41:S47" si="53">SUM(T41:U41)</f>
        <v>107.5</v>
      </c>
      <c r="T41" s="515">
        <f>SUMIFS('基本支出总表（铁）'!M:M,'基本支出总表（铁）'!C:C,MID(TRIM(A41),2,7))</f>
        <v>0</v>
      </c>
      <c r="U41" s="515">
        <f>SUMIFS('项目支出总表（铁）'!U:U,'项目支出总表（铁）'!C:C,MID(TRIM(A41),2,7))</f>
        <v>107.5</v>
      </c>
    </row>
    <row r="42" s="1" customFormat="1" ht="21.75" customHeight="1" spans="1:21">
      <c r="A42" s="510" t="s">
        <v>211</v>
      </c>
      <c r="B42" s="511">
        <f t="shared" ref="B42:I42" si="54">B43+B45+B48</f>
        <v>425.047046</v>
      </c>
      <c r="C42" s="511">
        <f t="shared" si="54"/>
        <v>305.647046</v>
      </c>
      <c r="D42" s="511">
        <f t="shared" si="54"/>
        <v>256.651485</v>
      </c>
      <c r="E42" s="511">
        <f t="shared" si="54"/>
        <v>48.995561</v>
      </c>
      <c r="F42" s="511">
        <f t="shared" si="54"/>
        <v>119.4</v>
      </c>
      <c r="G42" s="511" t="e">
        <f t="shared" si="54"/>
        <v>#REF!</v>
      </c>
      <c r="H42" s="511" t="e">
        <f t="shared" si="54"/>
        <v>#REF!</v>
      </c>
      <c r="I42" s="511" t="e">
        <f t="shared" si="54"/>
        <v>#REF!</v>
      </c>
      <c r="J42" s="522" t="e">
        <f t="shared" si="48"/>
        <v>#REF!</v>
      </c>
      <c r="K42" s="522" t="e">
        <f t="shared" si="49"/>
        <v>#REF!</v>
      </c>
      <c r="L42" s="522" t="e">
        <f t="shared" si="50"/>
        <v>#REF!</v>
      </c>
      <c r="S42" s="511">
        <f t="shared" ref="S42:U42" si="55">S43+S45+S48</f>
        <v>1082.047046</v>
      </c>
      <c r="T42" s="511">
        <f t="shared" si="55"/>
        <v>313.647046</v>
      </c>
      <c r="U42" s="511">
        <f t="shared" si="55"/>
        <v>768.4</v>
      </c>
    </row>
    <row r="43" s="1" customFormat="1" ht="21.75" customHeight="1" spans="1:21">
      <c r="A43" s="512" t="s">
        <v>216</v>
      </c>
      <c r="B43" s="513">
        <f t="shared" ref="B43:I43" si="56">SUM(B44)</f>
        <v>425.047046</v>
      </c>
      <c r="C43" s="513">
        <f t="shared" si="56"/>
        <v>305.647046</v>
      </c>
      <c r="D43" s="513">
        <f t="shared" si="56"/>
        <v>256.651485</v>
      </c>
      <c r="E43" s="513">
        <f t="shared" si="56"/>
        <v>48.995561</v>
      </c>
      <c r="F43" s="513">
        <f t="shared" si="56"/>
        <v>119.4</v>
      </c>
      <c r="G43" s="513" t="e">
        <f t="shared" si="56"/>
        <v>#REF!</v>
      </c>
      <c r="H43" s="513" t="e">
        <f t="shared" si="56"/>
        <v>#REF!</v>
      </c>
      <c r="I43" s="513" t="e">
        <f t="shared" si="56"/>
        <v>#REF!</v>
      </c>
      <c r="J43" s="523" t="e">
        <f t="shared" si="48"/>
        <v>#REF!</v>
      </c>
      <c r="K43" s="523" t="e">
        <f t="shared" si="49"/>
        <v>#REF!</v>
      </c>
      <c r="L43" s="523" t="e">
        <f t="shared" si="50"/>
        <v>#REF!</v>
      </c>
      <c r="S43" s="513">
        <f t="shared" ref="S43:U43" si="57">SUM(S44)</f>
        <v>537.704492</v>
      </c>
      <c r="T43" s="513">
        <f t="shared" si="57"/>
        <v>313.304492</v>
      </c>
      <c r="U43" s="513">
        <f t="shared" si="57"/>
        <v>224.4</v>
      </c>
    </row>
    <row r="44" s="1" customFormat="1" ht="21.75" customHeight="1" spans="1:21">
      <c r="A44" s="514" t="s">
        <v>217</v>
      </c>
      <c r="B44" s="515">
        <v>425.047046</v>
      </c>
      <c r="C44" s="515">
        <v>305.647046</v>
      </c>
      <c r="D44" s="515">
        <v>256.651485</v>
      </c>
      <c r="E44" s="515">
        <v>48.995561</v>
      </c>
      <c r="F44" s="515">
        <v>119.4</v>
      </c>
      <c r="G44" s="515" t="e">
        <f t="shared" si="52"/>
        <v>#REF!</v>
      </c>
      <c r="H44" s="515" t="e">
        <f>SUMIFS('基本支出总表（铁）'!#REF!,'基本支出总表（铁）'!C:C,MID(A44,4,7))</f>
        <v>#REF!</v>
      </c>
      <c r="I44" s="515" t="e">
        <f>SUMIFS('项目支出总表（铁）'!#REF!,'项目支出总表（铁）'!C:C,MID(A44,4,7))+SUMIFS('项目支出总表（铁）'!#REF!,'项目支出总表（铁）'!C:C,MID(A44,4,7))</f>
        <v>#REF!</v>
      </c>
      <c r="J44" s="524" t="e">
        <f t="shared" si="48"/>
        <v>#REF!</v>
      </c>
      <c r="K44" s="524" t="e">
        <f t="shared" si="49"/>
        <v>#REF!</v>
      </c>
      <c r="L44" s="524" t="e">
        <f t="shared" si="50"/>
        <v>#REF!</v>
      </c>
      <c r="S44" s="515">
        <f t="shared" si="53"/>
        <v>537.704492</v>
      </c>
      <c r="T44" s="515">
        <f>SUMIFS('基本支出总表（铁）'!M:M,'基本支出总表（铁）'!C:C,MID(TRIM(A44),2,7))</f>
        <v>313.304492</v>
      </c>
      <c r="U44" s="515">
        <f>SUMIFS('项目支出总表（铁）'!U:U,'项目支出总表（铁）'!C:C,MID(TRIM(A44),2,7))</f>
        <v>224.4</v>
      </c>
    </row>
    <row r="45" s="1" customFormat="1" ht="21.75" customHeight="1" spans="1:21">
      <c r="A45" s="512" t="s">
        <v>220</v>
      </c>
      <c r="B45" s="513">
        <f t="shared" ref="B45:I45" si="58">SUM(B46:B47)</f>
        <v>0</v>
      </c>
      <c r="C45" s="513">
        <f t="shared" si="58"/>
        <v>0</v>
      </c>
      <c r="D45" s="513">
        <f t="shared" si="58"/>
        <v>0</v>
      </c>
      <c r="E45" s="513">
        <f t="shared" si="58"/>
        <v>0</v>
      </c>
      <c r="F45" s="513">
        <f t="shared" si="58"/>
        <v>0</v>
      </c>
      <c r="G45" s="513" t="e">
        <f t="shared" si="58"/>
        <v>#REF!</v>
      </c>
      <c r="H45" s="513" t="e">
        <f t="shared" si="58"/>
        <v>#REF!</v>
      </c>
      <c r="I45" s="513" t="e">
        <f t="shared" si="58"/>
        <v>#REF!</v>
      </c>
      <c r="J45" s="523" t="str">
        <f t="shared" si="48"/>
        <v/>
      </c>
      <c r="K45" s="523" t="str">
        <f t="shared" si="49"/>
        <v/>
      </c>
      <c r="L45" s="523" t="str">
        <f t="shared" si="50"/>
        <v/>
      </c>
      <c r="S45" s="513">
        <f t="shared" ref="S45:U45" si="59">SUM(S46:S47)</f>
        <v>544</v>
      </c>
      <c r="T45" s="513">
        <f t="shared" si="59"/>
        <v>0</v>
      </c>
      <c r="U45" s="513">
        <f t="shared" si="59"/>
        <v>544</v>
      </c>
    </row>
    <row r="46" s="1" customFormat="1" ht="21.75" customHeight="1" spans="1:21">
      <c r="A46" s="516" t="s">
        <v>403</v>
      </c>
      <c r="B46" s="515"/>
      <c r="C46" s="515"/>
      <c r="D46" s="515"/>
      <c r="E46" s="515"/>
      <c r="F46" s="515"/>
      <c r="G46" s="515" t="e">
        <f t="shared" si="52"/>
        <v>#REF!</v>
      </c>
      <c r="H46" s="515" t="e">
        <f>SUMIFS('基本支出总表（铁）'!#REF!,'基本支出总表（铁）'!C:C,MID(A46,4,7))</f>
        <v>#REF!</v>
      </c>
      <c r="I46" s="515" t="e">
        <f>SUMIFS('项目支出总表（铁）'!#REF!,'项目支出总表（铁）'!C:C,MID(A46,4,7))+SUMIFS('项目支出总表（铁）'!#REF!,'项目支出总表（铁）'!C:C,MID(A46,4,7))</f>
        <v>#REF!</v>
      </c>
      <c r="J46" s="524" t="str">
        <f t="shared" si="48"/>
        <v/>
      </c>
      <c r="K46" s="524" t="str">
        <f t="shared" si="49"/>
        <v/>
      </c>
      <c r="L46" s="524" t="str">
        <f t="shared" si="50"/>
        <v/>
      </c>
      <c r="S46" s="515">
        <f t="shared" si="53"/>
        <v>444</v>
      </c>
      <c r="T46" s="515">
        <f>SUMIFS('基本支出总表（铁）'!M:M,'基本支出总表（铁）'!C:C,MID(TRIM(A46),2,7))</f>
        <v>0</v>
      </c>
      <c r="U46" s="515">
        <f>SUMIFS('项目支出总表（铁）'!U:U,'项目支出总表（铁）'!C:C,MID(TRIM(A46),2,7))</f>
        <v>444</v>
      </c>
    </row>
    <row r="47" s="1" customFormat="1" ht="21.75" customHeight="1" spans="1:21">
      <c r="A47" s="514" t="s">
        <v>223</v>
      </c>
      <c r="B47" s="515"/>
      <c r="C47" s="515"/>
      <c r="D47" s="515"/>
      <c r="E47" s="515"/>
      <c r="F47" s="515"/>
      <c r="G47" s="515" t="e">
        <f t="shared" si="52"/>
        <v>#REF!</v>
      </c>
      <c r="H47" s="515" t="e">
        <f>SUMIFS('基本支出总表（铁）'!#REF!,'基本支出总表（铁）'!C:C,MID(A47,4,7))</f>
        <v>#REF!</v>
      </c>
      <c r="I47" s="515" t="e">
        <f>SUMIFS('项目支出总表（铁）'!#REF!,'项目支出总表（铁）'!C:C,MID(A47,4,7))+SUMIFS('项目支出总表（铁）'!#REF!,'项目支出总表（铁）'!C:C,MID(A47,4,7))</f>
        <v>#REF!</v>
      </c>
      <c r="J47" s="524" t="str">
        <f t="shared" si="48"/>
        <v/>
      </c>
      <c r="K47" s="524" t="str">
        <f t="shared" si="49"/>
        <v/>
      </c>
      <c r="L47" s="524" t="str">
        <f t="shared" si="50"/>
        <v/>
      </c>
      <c r="S47" s="515">
        <f t="shared" si="53"/>
        <v>100</v>
      </c>
      <c r="T47" s="515">
        <f>SUMIFS('基本支出总表（铁）'!M:M,'基本支出总表（铁）'!C:C,MID(TRIM(A47),2,7))</f>
        <v>0</v>
      </c>
      <c r="U47" s="515">
        <f>SUMIFS('项目支出总表（铁）'!U:U,'项目支出总表（铁）'!C:C,MID(TRIM(A47),2,7))</f>
        <v>100</v>
      </c>
    </row>
    <row r="48" s="1" customFormat="1" ht="21.75" customHeight="1" spans="1:21">
      <c r="A48" s="517" t="s">
        <v>240</v>
      </c>
      <c r="B48" s="513">
        <f t="shared" ref="B48:I48" si="60">SUM(B49)</f>
        <v>0</v>
      </c>
      <c r="C48" s="513">
        <f t="shared" si="60"/>
        <v>0</v>
      </c>
      <c r="D48" s="513">
        <f t="shared" si="60"/>
        <v>0</v>
      </c>
      <c r="E48" s="513">
        <f t="shared" si="60"/>
        <v>0</v>
      </c>
      <c r="F48" s="513">
        <f t="shared" si="60"/>
        <v>0</v>
      </c>
      <c r="G48" s="513" t="e">
        <f t="shared" si="60"/>
        <v>#REF!</v>
      </c>
      <c r="H48" s="513" t="e">
        <f t="shared" si="60"/>
        <v>#REF!</v>
      </c>
      <c r="I48" s="513" t="e">
        <f t="shared" si="60"/>
        <v>#REF!</v>
      </c>
      <c r="J48" s="523" t="str">
        <f t="shared" si="48"/>
        <v/>
      </c>
      <c r="K48" s="523" t="str">
        <f t="shared" si="49"/>
        <v/>
      </c>
      <c r="L48" s="523" t="str">
        <f t="shared" si="50"/>
        <v/>
      </c>
      <c r="S48" s="513">
        <f t="shared" ref="S48:U48" si="61">SUM(S49)</f>
        <v>0.342554</v>
      </c>
      <c r="T48" s="513">
        <f t="shared" si="61"/>
        <v>0.342554</v>
      </c>
      <c r="U48" s="513">
        <f t="shared" si="61"/>
        <v>0</v>
      </c>
    </row>
    <row r="49" s="1" customFormat="1" ht="21.75" customHeight="1" spans="1:21">
      <c r="A49" s="516" t="s">
        <v>241</v>
      </c>
      <c r="B49" s="515"/>
      <c r="C49" s="515"/>
      <c r="D49" s="515"/>
      <c r="E49" s="515"/>
      <c r="F49" s="515"/>
      <c r="G49" s="515" t="e">
        <f>SUM(H49:I49)</f>
        <v>#REF!</v>
      </c>
      <c r="H49" s="515" t="e">
        <f>SUMIFS('基本支出总表（铁）'!#REF!,'基本支出总表（铁）'!C:C,MID(A49,4,7))</f>
        <v>#REF!</v>
      </c>
      <c r="I49" s="515" t="e">
        <f>SUMIFS('项目支出总表（铁）'!#REF!,'项目支出总表（铁）'!C:C,MID(A49,4,7))+SUMIFS('项目支出总表（铁）'!#REF!,'项目支出总表（铁）'!C:C,MID(A49,4,7))</f>
        <v>#REF!</v>
      </c>
      <c r="J49" s="524" t="str">
        <f t="shared" si="48"/>
        <v/>
      </c>
      <c r="K49" s="524" t="str">
        <f t="shared" si="49"/>
        <v/>
      </c>
      <c r="L49" s="524" t="str">
        <f t="shared" si="50"/>
        <v/>
      </c>
      <c r="S49" s="515">
        <f>SUM(T49:U49)</f>
        <v>0.342554</v>
      </c>
      <c r="T49" s="515">
        <f>SUMIFS('基本支出总表（铁）'!M:M,'基本支出总表（铁）'!C:C,MID(TRIM(A49),2,7))</f>
        <v>0.342554</v>
      </c>
      <c r="U49" s="515">
        <f>SUMIFS('项目支出总表（铁）'!U:U,'项目支出总表（铁）'!C:C,MID(TRIM(A49),2,7))</f>
        <v>0</v>
      </c>
    </row>
    <row r="50" s="1" customFormat="1" ht="21.75" customHeight="1" spans="1:21">
      <c r="A50" s="518" t="s">
        <v>404</v>
      </c>
      <c r="B50" s="511">
        <f t="shared" ref="B50:I50" si="62">B51</f>
        <v>0</v>
      </c>
      <c r="C50" s="511">
        <f t="shared" si="62"/>
        <v>0</v>
      </c>
      <c r="D50" s="511">
        <f t="shared" si="62"/>
        <v>0</v>
      </c>
      <c r="E50" s="511">
        <f t="shared" si="62"/>
        <v>0</v>
      </c>
      <c r="F50" s="511">
        <f t="shared" si="62"/>
        <v>0</v>
      </c>
      <c r="G50" s="511" t="e">
        <f t="shared" si="62"/>
        <v>#REF!</v>
      </c>
      <c r="H50" s="511" t="e">
        <f t="shared" si="62"/>
        <v>#REF!</v>
      </c>
      <c r="I50" s="511" t="e">
        <f t="shared" si="62"/>
        <v>#REF!</v>
      </c>
      <c r="J50" s="522" t="str">
        <f t="shared" si="48"/>
        <v/>
      </c>
      <c r="K50" s="522" t="str">
        <f t="shared" si="49"/>
        <v/>
      </c>
      <c r="L50" s="522" t="str">
        <f t="shared" si="50"/>
        <v/>
      </c>
      <c r="S50" s="511">
        <f t="shared" ref="S50:U50" si="63">S51</f>
        <v>253.24</v>
      </c>
      <c r="T50" s="511">
        <f t="shared" si="63"/>
        <v>0</v>
      </c>
      <c r="U50" s="511">
        <f t="shared" si="63"/>
        <v>253.24</v>
      </c>
    </row>
    <row r="51" s="1" customFormat="1" ht="21.75" customHeight="1" spans="1:21">
      <c r="A51" s="517" t="s">
        <v>405</v>
      </c>
      <c r="B51" s="513">
        <f t="shared" ref="B51:I51" si="64">SUM(B52)</f>
        <v>0</v>
      </c>
      <c r="C51" s="513">
        <f t="shared" si="64"/>
        <v>0</v>
      </c>
      <c r="D51" s="513">
        <f t="shared" si="64"/>
        <v>0</v>
      </c>
      <c r="E51" s="513">
        <f t="shared" si="64"/>
        <v>0</v>
      </c>
      <c r="F51" s="513">
        <f t="shared" si="64"/>
        <v>0</v>
      </c>
      <c r="G51" s="513" t="e">
        <f t="shared" si="64"/>
        <v>#REF!</v>
      </c>
      <c r="H51" s="513" t="e">
        <f t="shared" si="64"/>
        <v>#REF!</v>
      </c>
      <c r="I51" s="513" t="e">
        <f t="shared" si="64"/>
        <v>#REF!</v>
      </c>
      <c r="J51" s="523" t="str">
        <f t="shared" si="48"/>
        <v/>
      </c>
      <c r="K51" s="523" t="str">
        <f t="shared" si="49"/>
        <v/>
      </c>
      <c r="L51" s="523" t="str">
        <f t="shared" si="50"/>
        <v/>
      </c>
      <c r="S51" s="513">
        <f t="shared" ref="S51:U51" si="65">SUM(S52)</f>
        <v>253.24</v>
      </c>
      <c r="T51" s="513">
        <f t="shared" si="65"/>
        <v>0</v>
      </c>
      <c r="U51" s="513">
        <f t="shared" si="65"/>
        <v>253.24</v>
      </c>
    </row>
    <row r="52" s="1" customFormat="1" ht="21.75" customHeight="1" spans="1:21">
      <c r="A52" s="516" t="s">
        <v>406</v>
      </c>
      <c r="B52" s="515"/>
      <c r="C52" s="515"/>
      <c r="D52" s="515"/>
      <c r="E52" s="515"/>
      <c r="F52" s="515"/>
      <c r="G52" s="515" t="e">
        <f t="shared" ref="G52:G56" si="66">SUM(H52:I52)</f>
        <v>#REF!</v>
      </c>
      <c r="H52" s="515" t="e">
        <f>SUMIFS('基本支出总表（铁）'!#REF!,'基本支出总表（铁）'!C:C,MID(A52,4,7))</f>
        <v>#REF!</v>
      </c>
      <c r="I52" s="515" t="e">
        <f>SUMIFS('项目支出总表（铁）'!#REF!,'项目支出总表（铁）'!C:C,MID(A52,4,7))+SUMIFS('项目支出总表（铁）'!#REF!,'项目支出总表（铁）'!C:C,MID(A52,4,7))</f>
        <v>#REF!</v>
      </c>
      <c r="J52" s="524" t="str">
        <f t="shared" si="48"/>
        <v/>
      </c>
      <c r="K52" s="524" t="str">
        <f t="shared" si="49"/>
        <v/>
      </c>
      <c r="L52" s="524" t="str">
        <f t="shared" si="50"/>
        <v/>
      </c>
      <c r="S52" s="515">
        <f t="shared" ref="S52:S56" si="67">SUM(T52:U52)</f>
        <v>253.24</v>
      </c>
      <c r="T52" s="515">
        <f>SUMIFS('基本支出总表（铁）'!M:M,'基本支出总表（铁）'!C:C,MID(TRIM(A52),2,7))</f>
        <v>0</v>
      </c>
      <c r="U52" s="515">
        <f>SUMIFS('项目支出总表（铁）'!U:U,'项目支出总表（铁）'!C:C,MID(TRIM(A52),2,7))</f>
        <v>253.24</v>
      </c>
    </row>
    <row r="53" s="1" customFormat="1" ht="21.75" customHeight="1" spans="1:21">
      <c r="A53" s="510" t="s">
        <v>257</v>
      </c>
      <c r="B53" s="511">
        <f t="shared" ref="B53:I53" si="68">B54+B57</f>
        <v>2855.072474</v>
      </c>
      <c r="C53" s="511">
        <f t="shared" si="68"/>
        <v>150.652474</v>
      </c>
      <c r="D53" s="511">
        <f t="shared" si="68"/>
        <v>126.652474</v>
      </c>
      <c r="E53" s="511">
        <f t="shared" si="68"/>
        <v>24</v>
      </c>
      <c r="F53" s="511">
        <f t="shared" si="68"/>
        <v>2704.42</v>
      </c>
      <c r="G53" s="511" t="e">
        <f t="shared" si="68"/>
        <v>#REF!</v>
      </c>
      <c r="H53" s="511" t="e">
        <f t="shared" si="68"/>
        <v>#REF!</v>
      </c>
      <c r="I53" s="511" t="e">
        <f t="shared" si="68"/>
        <v>#REF!</v>
      </c>
      <c r="J53" s="522" t="e">
        <f t="shared" si="48"/>
        <v>#REF!</v>
      </c>
      <c r="K53" s="522" t="e">
        <f t="shared" si="49"/>
        <v>#REF!</v>
      </c>
      <c r="L53" s="522" t="e">
        <f t="shared" si="50"/>
        <v>#REF!</v>
      </c>
      <c r="S53" s="511">
        <f t="shared" ref="S53:U53" si="69">S54+S57</f>
        <v>2794.152474</v>
      </c>
      <c r="T53" s="511">
        <f t="shared" si="69"/>
        <v>168.652474</v>
      </c>
      <c r="U53" s="511">
        <f t="shared" si="69"/>
        <v>2625.5</v>
      </c>
    </row>
    <row r="54" s="1" customFormat="1" ht="21.75" customHeight="1" spans="1:21">
      <c r="A54" s="512" t="s">
        <v>258</v>
      </c>
      <c r="B54" s="513">
        <f t="shared" ref="B54:I54" si="70">SUM(B55:B56)</f>
        <v>574.272474</v>
      </c>
      <c r="C54" s="513">
        <f t="shared" si="70"/>
        <v>150.652474</v>
      </c>
      <c r="D54" s="513">
        <f t="shared" si="70"/>
        <v>126.652474</v>
      </c>
      <c r="E54" s="513">
        <f t="shared" si="70"/>
        <v>24</v>
      </c>
      <c r="F54" s="513">
        <f t="shared" si="70"/>
        <v>423.62</v>
      </c>
      <c r="G54" s="513" t="e">
        <f t="shared" si="70"/>
        <v>#REF!</v>
      </c>
      <c r="H54" s="513" t="e">
        <f t="shared" si="70"/>
        <v>#REF!</v>
      </c>
      <c r="I54" s="513" t="e">
        <f t="shared" si="70"/>
        <v>#REF!</v>
      </c>
      <c r="J54" s="523" t="e">
        <f t="shared" si="48"/>
        <v>#REF!</v>
      </c>
      <c r="K54" s="523" t="e">
        <f t="shared" si="49"/>
        <v>#REF!</v>
      </c>
      <c r="L54" s="523" t="e">
        <f t="shared" si="50"/>
        <v>#REF!</v>
      </c>
      <c r="S54" s="513">
        <f t="shared" ref="S54:U54" si="71">SUM(S55:S56)</f>
        <v>592.272474</v>
      </c>
      <c r="T54" s="513">
        <f t="shared" si="71"/>
        <v>168.652474</v>
      </c>
      <c r="U54" s="513">
        <f t="shared" si="71"/>
        <v>423.62</v>
      </c>
    </row>
    <row r="55" s="1" customFormat="1" ht="21.75" customHeight="1" spans="1:21">
      <c r="A55" s="514" t="s">
        <v>259</v>
      </c>
      <c r="B55" s="515">
        <v>150.652474</v>
      </c>
      <c r="C55" s="515">
        <v>150.652474</v>
      </c>
      <c r="D55" s="515">
        <v>126.652474</v>
      </c>
      <c r="E55" s="515">
        <v>24</v>
      </c>
      <c r="F55" s="515"/>
      <c r="G55" s="515" t="e">
        <f t="shared" si="66"/>
        <v>#REF!</v>
      </c>
      <c r="H55" s="515" t="e">
        <f>SUMIFS('基本支出总表（铁）'!#REF!,'基本支出总表（铁）'!C:C,MID(A55,4,7))</f>
        <v>#REF!</v>
      </c>
      <c r="I55" s="515" t="e">
        <f>SUMIFS('项目支出总表（铁）'!#REF!,'项目支出总表（铁）'!C:C,MID(A55,4,7))+SUMIFS('项目支出总表（铁）'!#REF!,'项目支出总表（铁）'!C:C,MID(A55,4,7))</f>
        <v>#REF!</v>
      </c>
      <c r="J55" s="524" t="e">
        <f t="shared" si="48"/>
        <v>#REF!</v>
      </c>
      <c r="K55" s="524" t="e">
        <f t="shared" si="49"/>
        <v>#REF!</v>
      </c>
      <c r="L55" s="524" t="str">
        <f t="shared" si="50"/>
        <v/>
      </c>
      <c r="S55" s="515">
        <f t="shared" si="67"/>
        <v>168.652474</v>
      </c>
      <c r="T55" s="515">
        <f>SUMIFS('基本支出总表（铁）'!M:M,'基本支出总表（铁）'!C:C,MID(TRIM(A55),2,7))</f>
        <v>168.652474</v>
      </c>
      <c r="U55" s="515">
        <f>SUMIFS('项目支出总表（铁）'!U:U,'项目支出总表（铁）'!C:C,MID(TRIM(A55),2,7))</f>
        <v>0</v>
      </c>
    </row>
    <row r="56" s="1" customFormat="1" ht="21.75" customHeight="1" spans="1:21">
      <c r="A56" s="514" t="s">
        <v>261</v>
      </c>
      <c r="B56" s="515">
        <v>423.62</v>
      </c>
      <c r="C56" s="515"/>
      <c r="D56" s="515"/>
      <c r="E56" s="515"/>
      <c r="F56" s="515">
        <v>423.62</v>
      </c>
      <c r="G56" s="515" t="e">
        <f t="shared" si="66"/>
        <v>#REF!</v>
      </c>
      <c r="H56" s="515" t="e">
        <f>SUMIFS('基本支出总表（铁）'!#REF!,'基本支出总表（铁）'!C:C,MID(A56,4,7))</f>
        <v>#REF!</v>
      </c>
      <c r="I56" s="515" t="e">
        <f>SUMIFS('项目支出总表（铁）'!#REF!,'项目支出总表（铁）'!C:C,MID(A56,4,7))+SUMIFS('项目支出总表（铁）'!#REF!,'项目支出总表（铁）'!C:C,MID(A56,4,7))</f>
        <v>#REF!</v>
      </c>
      <c r="J56" s="524" t="e">
        <f t="shared" si="48"/>
        <v>#REF!</v>
      </c>
      <c r="K56" s="524" t="str">
        <f t="shared" si="49"/>
        <v/>
      </c>
      <c r="L56" s="524" t="e">
        <f t="shared" si="50"/>
        <v>#REF!</v>
      </c>
      <c r="S56" s="515">
        <f t="shared" si="67"/>
        <v>423.62</v>
      </c>
      <c r="T56" s="515">
        <f>SUMIFS('基本支出总表（铁）'!M:M,'基本支出总表（铁）'!C:C,MID(TRIM(A56),2,7))</f>
        <v>0</v>
      </c>
      <c r="U56" s="515">
        <f>SUMIFS('项目支出总表（铁）'!U:U,'项目支出总表（铁）'!C:C,MID(TRIM(A56),2,7))</f>
        <v>423.62</v>
      </c>
    </row>
    <row r="57" s="1" customFormat="1" ht="21.75" customHeight="1" spans="1:21">
      <c r="A57" s="512" t="s">
        <v>265</v>
      </c>
      <c r="B57" s="513">
        <f t="shared" ref="B57:I57" si="72">SUM(B58)</f>
        <v>2280.8</v>
      </c>
      <c r="C57" s="513">
        <f t="shared" si="72"/>
        <v>0</v>
      </c>
      <c r="D57" s="513">
        <f t="shared" si="72"/>
        <v>0</v>
      </c>
      <c r="E57" s="513">
        <f t="shared" si="72"/>
        <v>0</v>
      </c>
      <c r="F57" s="513">
        <f t="shared" si="72"/>
        <v>2280.8</v>
      </c>
      <c r="G57" s="513" t="e">
        <f t="shared" si="72"/>
        <v>#REF!</v>
      </c>
      <c r="H57" s="513" t="e">
        <f t="shared" si="72"/>
        <v>#REF!</v>
      </c>
      <c r="I57" s="513" t="e">
        <f t="shared" si="72"/>
        <v>#REF!</v>
      </c>
      <c r="J57" s="523" t="e">
        <f t="shared" si="48"/>
        <v>#REF!</v>
      </c>
      <c r="K57" s="523" t="str">
        <f t="shared" si="49"/>
        <v/>
      </c>
      <c r="L57" s="523" t="e">
        <f t="shared" si="50"/>
        <v>#REF!</v>
      </c>
      <c r="S57" s="513">
        <f>SUM(S58)</f>
        <v>2201.88</v>
      </c>
      <c r="T57" s="513">
        <f t="shared" ref="S57:U57" si="73">SUM(T58)</f>
        <v>0</v>
      </c>
      <c r="U57" s="513">
        <f t="shared" si="73"/>
        <v>2201.88</v>
      </c>
    </row>
    <row r="58" s="1" customFormat="1" ht="21.75" customHeight="1" spans="1:21">
      <c r="A58" s="514" t="s">
        <v>266</v>
      </c>
      <c r="B58" s="515">
        <v>2280.8</v>
      </c>
      <c r="C58" s="515"/>
      <c r="D58" s="515"/>
      <c r="E58" s="515"/>
      <c r="F58" s="515">
        <v>2280.8</v>
      </c>
      <c r="G58" s="515" t="e">
        <f>SUM(H58:I58)</f>
        <v>#REF!</v>
      </c>
      <c r="H58" s="515" t="e">
        <f>SUMIFS('基本支出总表（铁）'!#REF!,'基本支出总表（铁）'!C:C,MID(A58,4,7))</f>
        <v>#REF!</v>
      </c>
      <c r="I58" s="515" t="e">
        <f>SUMIFS('项目支出总表（铁）'!#REF!,'项目支出总表（铁）'!C:C,MID(A58,4,7))+SUMIFS('项目支出总表（铁）'!#REF!,'项目支出总表（铁）'!C:C,MID(A58,4,7))</f>
        <v>#REF!</v>
      </c>
      <c r="J58" s="524" t="e">
        <f t="shared" si="48"/>
        <v>#REF!</v>
      </c>
      <c r="K58" s="524" t="str">
        <f t="shared" si="49"/>
        <v/>
      </c>
      <c r="L58" s="524" t="e">
        <f t="shared" si="50"/>
        <v>#REF!</v>
      </c>
      <c r="S58" s="515">
        <f>SUM(T58:U58)</f>
        <v>2201.88</v>
      </c>
      <c r="T58" s="515">
        <f>SUMIFS('基本支出总表（铁）'!M:M,'基本支出总表（铁）'!C:C,MID(TRIM(A58),2,7))</f>
        <v>0</v>
      </c>
      <c r="U58" s="515">
        <f>SUMIFS('项目支出总表（铁）'!U:U,'项目支出总表（铁）'!C:C,MID(TRIM(A58),2,7))</f>
        <v>2201.88</v>
      </c>
    </row>
    <row r="59" s="1" customFormat="1" ht="21.75" customHeight="1" spans="1:21">
      <c r="A59" s="510" t="s">
        <v>269</v>
      </c>
      <c r="B59" s="511"/>
      <c r="C59" s="511"/>
      <c r="D59" s="511"/>
      <c r="E59" s="511"/>
      <c r="F59" s="511">
        <f>F60</f>
        <v>0</v>
      </c>
      <c r="G59" s="511" t="e">
        <f>G60</f>
        <v>#REF!</v>
      </c>
      <c r="H59" s="511" t="e">
        <f>H60</f>
        <v>#REF!</v>
      </c>
      <c r="I59" s="511" t="e">
        <f>I60</f>
        <v>#REF!</v>
      </c>
      <c r="J59" s="522" t="str">
        <f t="shared" si="48"/>
        <v/>
      </c>
      <c r="K59" s="522" t="str">
        <f t="shared" si="49"/>
        <v/>
      </c>
      <c r="L59" s="522" t="str">
        <f t="shared" si="50"/>
        <v/>
      </c>
      <c r="S59" s="511">
        <f>S60</f>
        <v>65</v>
      </c>
      <c r="T59" s="511">
        <f>T60</f>
        <v>0</v>
      </c>
      <c r="U59" s="511">
        <f>U60</f>
        <v>65</v>
      </c>
    </row>
    <row r="60" s="1" customFormat="1" ht="21.75" customHeight="1" spans="1:21">
      <c r="A60" s="512" t="s">
        <v>284</v>
      </c>
      <c r="B60" s="513"/>
      <c r="C60" s="513"/>
      <c r="D60" s="513"/>
      <c r="E60" s="513"/>
      <c r="F60" s="513">
        <f>SUM(F61)</f>
        <v>0</v>
      </c>
      <c r="G60" s="513" t="e">
        <f>SUM(G61)</f>
        <v>#REF!</v>
      </c>
      <c r="H60" s="513" t="e">
        <f>SUM(H61)</f>
        <v>#REF!</v>
      </c>
      <c r="I60" s="513" t="e">
        <f>SUM(I61)</f>
        <v>#REF!</v>
      </c>
      <c r="J60" s="523" t="str">
        <f t="shared" si="48"/>
        <v/>
      </c>
      <c r="K60" s="523" t="str">
        <f t="shared" si="49"/>
        <v/>
      </c>
      <c r="L60" s="523" t="str">
        <f t="shared" si="50"/>
        <v/>
      </c>
      <c r="S60" s="513">
        <f t="shared" ref="S60:U60" si="74">SUM(S61)</f>
        <v>65</v>
      </c>
      <c r="T60" s="513">
        <f t="shared" si="74"/>
        <v>0</v>
      </c>
      <c r="U60" s="513">
        <f t="shared" si="74"/>
        <v>65</v>
      </c>
    </row>
    <row r="61" s="1" customFormat="1" ht="21.75" customHeight="1" spans="1:21">
      <c r="A61" s="516" t="s">
        <v>287</v>
      </c>
      <c r="B61" s="515"/>
      <c r="C61" s="515"/>
      <c r="D61" s="515"/>
      <c r="E61" s="515"/>
      <c r="F61" s="515"/>
      <c r="G61" s="515" t="e">
        <f>SUM(H61:I61)</f>
        <v>#REF!</v>
      </c>
      <c r="H61" s="515" t="e">
        <f>SUMIFS('基本支出总表（铁）'!#REF!,'基本支出总表（铁）'!C:C,MID(A61,4,7))</f>
        <v>#REF!</v>
      </c>
      <c r="I61" s="515" t="e">
        <f>SUMIFS('项目支出总表（铁）'!#REF!,'项目支出总表（铁）'!C:C,MID(A61,4,7))+SUMIFS('项目支出总表（铁）'!#REF!,'项目支出总表（铁）'!C:C,MID(A61,4,7))</f>
        <v>#REF!</v>
      </c>
      <c r="J61" s="524" t="str">
        <f t="shared" si="48"/>
        <v/>
      </c>
      <c r="K61" s="524" t="str">
        <f t="shared" si="49"/>
        <v/>
      </c>
      <c r="L61" s="524" t="str">
        <f t="shared" si="50"/>
        <v/>
      </c>
      <c r="S61" s="515">
        <f>SUM(T61:U61)</f>
        <v>65</v>
      </c>
      <c r="T61" s="515">
        <f>SUMIFS('基本支出总表（铁）'!M:M,'基本支出总表（铁）'!C:C,MID(TRIM(A61),2,7))</f>
        <v>0</v>
      </c>
      <c r="U61" s="515">
        <f>SUMIFS('项目支出总表（铁）'!U:U,'项目支出总表（铁）'!C:C,MID(TRIM(A61),2,7))</f>
        <v>65</v>
      </c>
    </row>
    <row r="62" s="1" customFormat="1" ht="21.75" customHeight="1" spans="1:21">
      <c r="A62" s="510" t="s">
        <v>316</v>
      </c>
      <c r="B62" s="511">
        <f t="shared" ref="B62:I62" si="75">B63</f>
        <v>106.065594</v>
      </c>
      <c r="C62" s="511">
        <f t="shared" si="75"/>
        <v>106.065594</v>
      </c>
      <c r="D62" s="511">
        <f t="shared" si="75"/>
        <v>92.389867</v>
      </c>
      <c r="E62" s="511">
        <f t="shared" si="75"/>
        <v>13.675727</v>
      </c>
      <c r="F62" s="511">
        <f t="shared" si="75"/>
        <v>0</v>
      </c>
      <c r="G62" s="511" t="e">
        <f t="shared" si="75"/>
        <v>#REF!</v>
      </c>
      <c r="H62" s="511" t="e">
        <f t="shared" si="75"/>
        <v>#REF!</v>
      </c>
      <c r="I62" s="511" t="e">
        <f t="shared" si="75"/>
        <v>#REF!</v>
      </c>
      <c r="J62" s="522" t="e">
        <f t="shared" si="48"/>
        <v>#REF!</v>
      </c>
      <c r="K62" s="522" t="e">
        <f t="shared" si="49"/>
        <v>#REF!</v>
      </c>
      <c r="L62" s="522" t="str">
        <f t="shared" si="50"/>
        <v/>
      </c>
      <c r="S62" s="511">
        <f t="shared" ref="S62:U62" si="76">S63</f>
        <v>107.085594</v>
      </c>
      <c r="T62" s="511">
        <f t="shared" si="76"/>
        <v>106.065594</v>
      </c>
      <c r="U62" s="511">
        <f t="shared" si="76"/>
        <v>1.02</v>
      </c>
    </row>
    <row r="63" s="1" customFormat="1" ht="21.75" customHeight="1" spans="1:21">
      <c r="A63" s="512" t="s">
        <v>317</v>
      </c>
      <c r="B63" s="513">
        <f t="shared" ref="B63:I63" si="77">SUM(B64:B65)</f>
        <v>106.065594</v>
      </c>
      <c r="C63" s="513">
        <f t="shared" si="77"/>
        <v>106.065594</v>
      </c>
      <c r="D63" s="513">
        <f t="shared" si="77"/>
        <v>92.389867</v>
      </c>
      <c r="E63" s="513">
        <f t="shared" si="77"/>
        <v>13.675727</v>
      </c>
      <c r="F63" s="513">
        <f t="shared" si="77"/>
        <v>0</v>
      </c>
      <c r="G63" s="513" t="e">
        <f t="shared" si="77"/>
        <v>#REF!</v>
      </c>
      <c r="H63" s="513" t="e">
        <f t="shared" si="77"/>
        <v>#REF!</v>
      </c>
      <c r="I63" s="513" t="e">
        <f t="shared" si="77"/>
        <v>#REF!</v>
      </c>
      <c r="J63" s="523" t="e">
        <f t="shared" si="48"/>
        <v>#REF!</v>
      </c>
      <c r="K63" s="523" t="e">
        <f t="shared" si="49"/>
        <v>#REF!</v>
      </c>
      <c r="L63" s="523" t="str">
        <f t="shared" si="50"/>
        <v/>
      </c>
      <c r="S63" s="513">
        <f t="shared" ref="S63:U63" si="78">SUM(S64:S65)</f>
        <v>107.085594</v>
      </c>
      <c r="T63" s="513">
        <f t="shared" si="78"/>
        <v>106.065594</v>
      </c>
      <c r="U63" s="513">
        <f t="shared" si="78"/>
        <v>1.02</v>
      </c>
    </row>
    <row r="64" s="1" customFormat="1" ht="21.75" customHeight="1" spans="1:21">
      <c r="A64" s="514" t="s">
        <v>318</v>
      </c>
      <c r="B64" s="515">
        <v>106.065594</v>
      </c>
      <c r="C64" s="515">
        <v>106.065594</v>
      </c>
      <c r="D64" s="515">
        <v>92.389867</v>
      </c>
      <c r="E64" s="515">
        <v>13.675727</v>
      </c>
      <c r="F64" s="515"/>
      <c r="G64" s="515" t="e">
        <f>SUM(H64:I64)</f>
        <v>#REF!</v>
      </c>
      <c r="H64" s="515" t="e">
        <f>SUMIFS('基本支出总表（铁）'!#REF!,'基本支出总表（铁）'!C:C,MID(A64,4,7))</f>
        <v>#REF!</v>
      </c>
      <c r="I64" s="515" t="e">
        <f>SUMIFS('项目支出总表（铁）'!#REF!,'项目支出总表（铁）'!C:C,MID(A64,4,7))+SUMIFS('项目支出总表（铁）'!#REF!,'项目支出总表（铁）'!C:C,MID(A64,4,7))</f>
        <v>#REF!</v>
      </c>
      <c r="J64" s="524" t="e">
        <f t="shared" si="48"/>
        <v>#REF!</v>
      </c>
      <c r="K64" s="524" t="e">
        <f t="shared" si="49"/>
        <v>#REF!</v>
      </c>
      <c r="L64" s="524" t="str">
        <f t="shared" si="50"/>
        <v/>
      </c>
      <c r="S64" s="515">
        <f>SUM(T64:U64)</f>
        <v>106.065594</v>
      </c>
      <c r="T64" s="515">
        <f>SUMIFS('基本支出总表（铁）'!M:M,'基本支出总表（铁）'!C:C,MID(TRIM(A64),2,7))</f>
        <v>106.065594</v>
      </c>
      <c r="U64" s="515">
        <f>SUMIFS('项目支出总表（铁）'!U:U,'项目支出总表（铁）'!C:C,MID(TRIM(A64),2,7))</f>
        <v>0</v>
      </c>
    </row>
    <row r="65" s="1" customFormat="1" ht="21.75" customHeight="1" spans="1:21">
      <c r="A65" s="516" t="s">
        <v>319</v>
      </c>
      <c r="B65" s="515"/>
      <c r="C65" s="515"/>
      <c r="D65" s="515"/>
      <c r="E65" s="515"/>
      <c r="F65" s="515"/>
      <c r="G65" s="515" t="e">
        <f>SUM(H65:I65)</f>
        <v>#REF!</v>
      </c>
      <c r="H65" s="515" t="e">
        <f>SUMIFS('基本支出总表（铁）'!#REF!,'基本支出总表（铁）'!C:C,MID(A65,4,7))</f>
        <v>#REF!</v>
      </c>
      <c r="I65" s="515" t="e">
        <f>SUMIFS('项目支出总表（铁）'!#REF!,'项目支出总表（铁）'!C:C,MID(A65,4,7))+SUMIFS('项目支出总表（铁）'!#REF!,'项目支出总表（铁）'!C:C,MID(A65,4,7))</f>
        <v>#REF!</v>
      </c>
      <c r="J65" s="524" t="str">
        <f t="shared" si="48"/>
        <v/>
      </c>
      <c r="K65" s="524" t="str">
        <f t="shared" si="49"/>
        <v/>
      </c>
      <c r="L65" s="524" t="str">
        <f t="shared" si="50"/>
        <v/>
      </c>
      <c r="S65" s="515">
        <f>SUM(T65:U65)</f>
        <v>1.02</v>
      </c>
      <c r="T65" s="515">
        <f>SUMIFS('基本支出总表（铁）'!M:M,'基本支出总表（铁）'!C:C,MID(TRIM(A65),2,7))</f>
        <v>0</v>
      </c>
      <c r="U65" s="515">
        <f>SUMIFS('项目支出总表（铁）'!U:U,'项目支出总表（铁）'!C:C,MID(TRIM(A65),2,7))</f>
        <v>1.02</v>
      </c>
    </row>
    <row r="66" s="1" customFormat="1" ht="21.75" customHeight="1" spans="1:21">
      <c r="A66" s="510" t="s">
        <v>365</v>
      </c>
      <c r="B66" s="511">
        <f t="shared" ref="B66:I66" si="79">B67</f>
        <v>600</v>
      </c>
      <c r="C66" s="511">
        <f t="shared" si="79"/>
        <v>0</v>
      </c>
      <c r="D66" s="511">
        <f t="shared" si="79"/>
        <v>0</v>
      </c>
      <c r="E66" s="511">
        <f t="shared" si="79"/>
        <v>0</v>
      </c>
      <c r="F66" s="511">
        <f t="shared" si="79"/>
        <v>600</v>
      </c>
      <c r="G66" s="511" t="e">
        <f t="shared" si="79"/>
        <v>#REF!</v>
      </c>
      <c r="H66" s="511" t="e">
        <f t="shared" si="79"/>
        <v>#REF!</v>
      </c>
      <c r="I66" s="511" t="e">
        <f t="shared" si="79"/>
        <v>#REF!</v>
      </c>
      <c r="J66" s="522" t="e">
        <f t="shared" si="48"/>
        <v>#REF!</v>
      </c>
      <c r="K66" s="522" t="str">
        <f t="shared" si="49"/>
        <v/>
      </c>
      <c r="L66" s="522" t="e">
        <f t="shared" si="50"/>
        <v>#REF!</v>
      </c>
      <c r="S66" s="511">
        <f t="shared" ref="S66:U66" si="80">S67</f>
        <v>0</v>
      </c>
      <c r="T66" s="511">
        <f t="shared" si="80"/>
        <v>0</v>
      </c>
      <c r="U66" s="511">
        <f t="shared" si="80"/>
        <v>0</v>
      </c>
    </row>
    <row r="67" s="1" customFormat="1" ht="21.75" customHeight="1" spans="1:21">
      <c r="A67" s="512" t="s">
        <v>366</v>
      </c>
      <c r="B67" s="513">
        <f t="shared" ref="B67:I67" si="81">SUM(B68)</f>
        <v>600</v>
      </c>
      <c r="C67" s="513">
        <f t="shared" si="81"/>
        <v>0</v>
      </c>
      <c r="D67" s="513">
        <f t="shared" si="81"/>
        <v>0</v>
      </c>
      <c r="E67" s="513">
        <f t="shared" si="81"/>
        <v>0</v>
      </c>
      <c r="F67" s="513">
        <f t="shared" si="81"/>
        <v>600</v>
      </c>
      <c r="G67" s="513" t="e">
        <f t="shared" si="81"/>
        <v>#REF!</v>
      </c>
      <c r="H67" s="513" t="e">
        <f t="shared" si="81"/>
        <v>#REF!</v>
      </c>
      <c r="I67" s="513" t="e">
        <f t="shared" si="81"/>
        <v>#REF!</v>
      </c>
      <c r="J67" s="523" t="e">
        <f t="shared" si="48"/>
        <v>#REF!</v>
      </c>
      <c r="K67" s="523" t="str">
        <f t="shared" si="49"/>
        <v/>
      </c>
      <c r="L67" s="523" t="e">
        <f t="shared" si="50"/>
        <v>#REF!</v>
      </c>
      <c r="S67" s="513">
        <f t="shared" ref="S67:U67" si="82">SUM(S68)</f>
        <v>0</v>
      </c>
      <c r="T67" s="513">
        <f t="shared" si="82"/>
        <v>0</v>
      </c>
      <c r="U67" s="513">
        <f t="shared" si="82"/>
        <v>0</v>
      </c>
    </row>
    <row r="68" s="1" customFormat="1" ht="21.75" customHeight="1" spans="1:21">
      <c r="A68" s="514" t="s">
        <v>367</v>
      </c>
      <c r="B68" s="515">
        <v>600</v>
      </c>
      <c r="C68" s="515"/>
      <c r="D68" s="515"/>
      <c r="E68" s="515"/>
      <c r="F68" s="515">
        <v>600</v>
      </c>
      <c r="G68" s="515" t="e">
        <f t="shared" ref="G68:G73" si="83">SUM(H68:I68)</f>
        <v>#REF!</v>
      </c>
      <c r="H68" s="515" t="e">
        <f>SUMIFS('基本支出总表（铁）'!#REF!,'基本支出总表（铁）'!C:C,MID(A68,4,7))</f>
        <v>#REF!</v>
      </c>
      <c r="I68" s="515" t="e">
        <f>SUMIFS('项目支出总表（铁）'!#REF!,'项目支出总表（铁）'!C:C,MID(A68,4,7))+SUMIFS('项目支出总表（铁）'!#REF!,'项目支出总表（铁）'!C:C,MID(A68,4,7))</f>
        <v>#REF!</v>
      </c>
      <c r="J68" s="524" t="e">
        <f t="shared" si="48"/>
        <v>#REF!</v>
      </c>
      <c r="K68" s="524" t="str">
        <f t="shared" si="49"/>
        <v/>
      </c>
      <c r="L68" s="524" t="e">
        <f t="shared" si="50"/>
        <v>#REF!</v>
      </c>
      <c r="S68" s="515">
        <f t="shared" ref="S68:S73" si="84">SUM(T68:U68)</f>
        <v>0</v>
      </c>
      <c r="T68" s="515">
        <f>SUMIFS('基本支出总表（铁）'!M:M,'基本支出总表（铁）'!C:C,MID(TRIM(A68),2,3))</f>
        <v>0</v>
      </c>
      <c r="U68" s="515">
        <f>SUMIFS('项目支出总表（铁）'!U:U,'项目支出总表（铁）'!C:C,MID(TRIM(A68),2,7))</f>
        <v>0</v>
      </c>
    </row>
    <row r="69" s="1" customFormat="1" ht="21.75" customHeight="1" spans="1:21">
      <c r="A69" s="510" t="s">
        <v>368</v>
      </c>
      <c r="B69" s="511">
        <f t="shared" ref="B69:I69" si="85">B70+B72</f>
        <v>5155</v>
      </c>
      <c r="C69" s="511">
        <f t="shared" si="85"/>
        <v>0</v>
      </c>
      <c r="D69" s="511">
        <f t="shared" si="85"/>
        <v>0</v>
      </c>
      <c r="E69" s="511">
        <f t="shared" si="85"/>
        <v>0</v>
      </c>
      <c r="F69" s="511">
        <f t="shared" si="85"/>
        <v>5155</v>
      </c>
      <c r="G69" s="511" t="e">
        <f t="shared" si="85"/>
        <v>#REF!</v>
      </c>
      <c r="H69" s="511" t="e">
        <f t="shared" si="85"/>
        <v>#REF!</v>
      </c>
      <c r="I69" s="511" t="e">
        <f t="shared" si="85"/>
        <v>#REF!</v>
      </c>
      <c r="J69" s="522" t="e">
        <f t="shared" si="48"/>
        <v>#REF!</v>
      </c>
      <c r="K69" s="522" t="str">
        <f t="shared" si="49"/>
        <v/>
      </c>
      <c r="L69" s="522" t="e">
        <f t="shared" si="50"/>
        <v>#REF!</v>
      </c>
      <c r="S69" s="511">
        <f t="shared" ref="S69:U69" si="86">S70+S72</f>
        <v>628.49</v>
      </c>
      <c r="T69" s="511">
        <f t="shared" si="86"/>
        <v>0</v>
      </c>
      <c r="U69" s="511">
        <f t="shared" si="86"/>
        <v>628.49</v>
      </c>
    </row>
    <row r="70" s="1" customFormat="1" ht="21.75" customHeight="1" spans="1:21">
      <c r="A70" s="512" t="s">
        <v>369</v>
      </c>
      <c r="B70" s="513">
        <f t="shared" ref="B70:I70" si="87">SUM(B71)</f>
        <v>1924</v>
      </c>
      <c r="C70" s="513">
        <f t="shared" si="87"/>
        <v>0</v>
      </c>
      <c r="D70" s="513">
        <f t="shared" si="87"/>
        <v>0</v>
      </c>
      <c r="E70" s="513">
        <f t="shared" si="87"/>
        <v>0</v>
      </c>
      <c r="F70" s="513">
        <f t="shared" si="87"/>
        <v>1924</v>
      </c>
      <c r="G70" s="513" t="e">
        <f t="shared" si="87"/>
        <v>#REF!</v>
      </c>
      <c r="H70" s="513" t="e">
        <f t="shared" si="87"/>
        <v>#REF!</v>
      </c>
      <c r="I70" s="513" t="e">
        <f t="shared" si="87"/>
        <v>#REF!</v>
      </c>
      <c r="J70" s="523" t="e">
        <f t="shared" si="48"/>
        <v>#REF!</v>
      </c>
      <c r="K70" s="523" t="str">
        <f t="shared" si="49"/>
        <v/>
      </c>
      <c r="L70" s="523" t="e">
        <f t="shared" si="50"/>
        <v>#REF!</v>
      </c>
      <c r="S70" s="513">
        <f t="shared" ref="S70:U70" si="88">SUM(S71)</f>
        <v>0</v>
      </c>
      <c r="T70" s="513">
        <f t="shared" si="88"/>
        <v>0</v>
      </c>
      <c r="U70" s="513">
        <f t="shared" si="88"/>
        <v>0</v>
      </c>
    </row>
    <row r="71" s="1" customFormat="1" ht="21.75" customHeight="1" spans="1:21">
      <c r="A71" s="514" t="s">
        <v>370</v>
      </c>
      <c r="B71" s="515">
        <v>1924</v>
      </c>
      <c r="C71" s="515"/>
      <c r="D71" s="515"/>
      <c r="E71" s="515"/>
      <c r="F71" s="515">
        <v>1924</v>
      </c>
      <c r="G71" s="515" t="e">
        <f t="shared" si="83"/>
        <v>#REF!</v>
      </c>
      <c r="H71" s="515" t="e">
        <f>SUMIFS('基本支出总表（铁）'!#REF!,'基本支出总表（铁）'!C:C,MID(A71,4,7))</f>
        <v>#REF!</v>
      </c>
      <c r="I71" s="515" t="e">
        <f>SUMIFS('项目支出总表（铁）'!#REF!,'项目支出总表（铁）'!C:C,MID(A71,4,7))+SUMIFS('项目支出总表（铁）'!#REF!,'项目支出总表（铁）'!C:C,MID(A71,4,7))</f>
        <v>#REF!</v>
      </c>
      <c r="J71" s="524" t="e">
        <f t="shared" si="48"/>
        <v>#REF!</v>
      </c>
      <c r="K71" s="524" t="str">
        <f t="shared" si="49"/>
        <v/>
      </c>
      <c r="L71" s="524" t="e">
        <f t="shared" si="50"/>
        <v>#REF!</v>
      </c>
      <c r="S71" s="515">
        <f t="shared" si="84"/>
        <v>0</v>
      </c>
      <c r="T71" s="515">
        <f>SUMIFS('基本支出总表（铁）'!M:M,'基本支出总表（铁）'!C:C,MID(TRIM(A71),2,7))</f>
        <v>0</v>
      </c>
      <c r="U71" s="515">
        <f>SUMIFS('项目支出总表（铁）'!U:U,'项目支出总表（铁）'!C:C,MID(TRIM(A71),2,7))</f>
        <v>0</v>
      </c>
    </row>
    <row r="72" s="1" customFormat="1" ht="21.75" customHeight="1" spans="1:21">
      <c r="A72" s="512" t="s">
        <v>371</v>
      </c>
      <c r="B72" s="513">
        <f t="shared" ref="B72:I72" si="89">SUM(B73)</f>
        <v>3231</v>
      </c>
      <c r="C72" s="513">
        <f t="shared" si="89"/>
        <v>0</v>
      </c>
      <c r="D72" s="513">
        <f t="shared" si="89"/>
        <v>0</v>
      </c>
      <c r="E72" s="513">
        <f t="shared" si="89"/>
        <v>0</v>
      </c>
      <c r="F72" s="513">
        <f t="shared" si="89"/>
        <v>3231</v>
      </c>
      <c r="G72" s="513" t="e">
        <f t="shared" si="89"/>
        <v>#REF!</v>
      </c>
      <c r="H72" s="513" t="e">
        <f t="shared" si="89"/>
        <v>#REF!</v>
      </c>
      <c r="I72" s="513" t="e">
        <f t="shared" si="89"/>
        <v>#REF!</v>
      </c>
      <c r="J72" s="523" t="e">
        <f t="shared" si="48"/>
        <v>#REF!</v>
      </c>
      <c r="K72" s="523" t="str">
        <f t="shared" si="49"/>
        <v/>
      </c>
      <c r="L72" s="523" t="e">
        <f t="shared" si="50"/>
        <v>#REF!</v>
      </c>
      <c r="S72" s="513">
        <f t="shared" ref="S72:U72" si="90">SUM(S73)</f>
        <v>628.49</v>
      </c>
      <c r="T72" s="513">
        <f t="shared" si="90"/>
        <v>0</v>
      </c>
      <c r="U72" s="513">
        <f t="shared" si="90"/>
        <v>628.49</v>
      </c>
    </row>
    <row r="73" s="1" customFormat="1" ht="21.75" customHeight="1" spans="1:21">
      <c r="A73" s="514" t="s">
        <v>372</v>
      </c>
      <c r="B73" s="515">
        <v>3231</v>
      </c>
      <c r="C73" s="515"/>
      <c r="D73" s="515"/>
      <c r="E73" s="515"/>
      <c r="F73" s="515">
        <v>3231</v>
      </c>
      <c r="G73" s="515" t="e">
        <f t="shared" si="83"/>
        <v>#REF!</v>
      </c>
      <c r="H73" s="515" t="e">
        <f>SUMIFS('基本支出总表（铁）'!#REF!,'基本支出总表（铁）'!C:C,MID(A73,4,7))</f>
        <v>#REF!</v>
      </c>
      <c r="I73" s="515" t="e">
        <f>SUMIFS('项目支出总表（铁）'!#REF!,'项目支出总表（铁）'!C:C,MID(A73,4,7))+SUMIFS('项目支出总表（铁）'!#REF!,'项目支出总表（铁）'!C:C,MID(A73,4,7))</f>
        <v>#REF!</v>
      </c>
      <c r="J73" s="524" t="e">
        <f t="shared" si="48"/>
        <v>#REF!</v>
      </c>
      <c r="K73" s="524" t="str">
        <f t="shared" si="49"/>
        <v/>
      </c>
      <c r="L73" s="524" t="e">
        <f t="shared" si="50"/>
        <v>#REF!</v>
      </c>
      <c r="S73" s="515">
        <f t="shared" si="84"/>
        <v>628.49</v>
      </c>
      <c r="T73" s="515">
        <f>SUMIFS('基本支出总表（铁）'!M:M,'基本支出总表（铁）'!C:C,MID(TRIM(A73),2,7))</f>
        <v>0</v>
      </c>
      <c r="U73" s="515">
        <f>SUMIFS('项目支出总表（铁）'!U:U,'项目支出总表（铁）'!C:C,MID(TRIM(A73),2,7))</f>
        <v>628.49</v>
      </c>
    </row>
    <row r="74" s="1" customFormat="1" ht="21.75" customHeight="1" spans="1:21">
      <c r="A74" s="510" t="s">
        <v>373</v>
      </c>
      <c r="B74" s="511">
        <f t="shared" ref="B74:I74" si="91">B75</f>
        <v>922</v>
      </c>
      <c r="C74" s="511">
        <f t="shared" si="91"/>
        <v>0</v>
      </c>
      <c r="D74" s="511">
        <f t="shared" si="91"/>
        <v>0</v>
      </c>
      <c r="E74" s="511">
        <f t="shared" si="91"/>
        <v>0</v>
      </c>
      <c r="F74" s="511">
        <f t="shared" si="91"/>
        <v>922</v>
      </c>
      <c r="G74" s="511" t="e">
        <f t="shared" si="91"/>
        <v>#REF!</v>
      </c>
      <c r="H74" s="511" t="e">
        <f t="shared" si="91"/>
        <v>#REF!</v>
      </c>
      <c r="I74" s="511" t="e">
        <f t="shared" si="91"/>
        <v>#REF!</v>
      </c>
      <c r="J74" s="522" t="e">
        <f t="shared" si="48"/>
        <v>#REF!</v>
      </c>
      <c r="K74" s="522" t="str">
        <f t="shared" si="49"/>
        <v/>
      </c>
      <c r="L74" s="522" t="e">
        <f t="shared" si="50"/>
        <v>#REF!</v>
      </c>
      <c r="S74" s="511">
        <f t="shared" ref="S74:U74" si="92">S75</f>
        <v>922</v>
      </c>
      <c r="T74" s="511">
        <f t="shared" si="92"/>
        <v>0</v>
      </c>
      <c r="U74" s="511">
        <f t="shared" si="92"/>
        <v>922</v>
      </c>
    </row>
    <row r="75" s="1" customFormat="1" ht="21.75" customHeight="1" spans="1:21">
      <c r="A75" s="512" t="s">
        <v>374</v>
      </c>
      <c r="B75" s="513">
        <f t="shared" ref="B75:I75" si="93">SUM(B76)</f>
        <v>922</v>
      </c>
      <c r="C75" s="513">
        <f t="shared" si="93"/>
        <v>0</v>
      </c>
      <c r="D75" s="513">
        <f t="shared" si="93"/>
        <v>0</v>
      </c>
      <c r="E75" s="513">
        <f t="shared" si="93"/>
        <v>0</v>
      </c>
      <c r="F75" s="513">
        <f t="shared" si="93"/>
        <v>922</v>
      </c>
      <c r="G75" s="513" t="e">
        <f t="shared" si="93"/>
        <v>#REF!</v>
      </c>
      <c r="H75" s="513" t="e">
        <f t="shared" si="93"/>
        <v>#REF!</v>
      </c>
      <c r="I75" s="513" t="e">
        <f t="shared" si="93"/>
        <v>#REF!</v>
      </c>
      <c r="J75" s="523" t="e">
        <f t="shared" si="48"/>
        <v>#REF!</v>
      </c>
      <c r="K75" s="523" t="str">
        <f t="shared" si="49"/>
        <v/>
      </c>
      <c r="L75" s="523" t="e">
        <f t="shared" si="50"/>
        <v>#REF!</v>
      </c>
      <c r="S75" s="513">
        <f t="shared" ref="S75:U75" si="94">SUM(S76)</f>
        <v>922</v>
      </c>
      <c r="T75" s="513">
        <f t="shared" si="94"/>
        <v>0</v>
      </c>
      <c r="U75" s="513">
        <f t="shared" si="94"/>
        <v>922</v>
      </c>
    </row>
    <row r="76" s="1" customFormat="1" ht="21.75" customHeight="1" spans="1:21">
      <c r="A76" s="514" t="s">
        <v>375</v>
      </c>
      <c r="B76" s="515">
        <v>922</v>
      </c>
      <c r="C76" s="515"/>
      <c r="D76" s="515"/>
      <c r="E76" s="515"/>
      <c r="F76" s="515">
        <v>922</v>
      </c>
      <c r="G76" s="515" t="e">
        <f>SUM(H76:I76)</f>
        <v>#REF!</v>
      </c>
      <c r="H76" s="515" t="e">
        <f>SUMIFS('基本支出总表（铁）'!#REF!,'基本支出总表（铁）'!C:C,MID(A76,4,7))</f>
        <v>#REF!</v>
      </c>
      <c r="I76" s="515" t="e">
        <f>SUMIFS('项目支出总表（铁）'!#REF!,'项目支出总表（铁）'!C:C,MID(A76,4,7))+SUMIFS('项目支出总表（铁）'!#REF!,'项目支出总表（铁）'!C:C,MID(A76,4,7))</f>
        <v>#REF!</v>
      </c>
      <c r="J76" s="524" t="e">
        <f t="shared" ref="J76:J83" si="95">IF(B76=0,"",G76/B76)</f>
        <v>#REF!</v>
      </c>
      <c r="K76" s="524" t="str">
        <f t="shared" ref="K76:K83" si="96">IF(C76=0,"",H76/C76)</f>
        <v/>
      </c>
      <c r="L76" s="524" t="e">
        <f t="shared" ref="L76:L83" si="97">IF(F76=0,"",I76/F76)</f>
        <v>#REF!</v>
      </c>
      <c r="S76" s="515">
        <f>SUM(T76:U76)</f>
        <v>922</v>
      </c>
      <c r="T76" s="515">
        <f>SUMIFS('基本支出总表（铁）'!M:M,'基本支出总表（铁）'!C:C,MID(TRIM(A76),2,7))</f>
        <v>0</v>
      </c>
      <c r="U76" s="515">
        <f>SUMIFS('项目支出总表（铁）'!U:U,'项目支出总表（铁）'!C:C,MID(TRIM(A76),2,7))</f>
        <v>922</v>
      </c>
    </row>
    <row r="77" s="1" customFormat="1" ht="21.75" customHeight="1" spans="1:21">
      <c r="A77" s="510" t="s">
        <v>376</v>
      </c>
      <c r="B77" s="511">
        <f t="shared" ref="B77:I77" si="98">B78</f>
        <v>660</v>
      </c>
      <c r="C77" s="511">
        <f t="shared" si="98"/>
        <v>0</v>
      </c>
      <c r="D77" s="511">
        <f t="shared" si="98"/>
        <v>0</v>
      </c>
      <c r="E77" s="511">
        <f t="shared" si="98"/>
        <v>0</v>
      </c>
      <c r="F77" s="511">
        <f t="shared" si="98"/>
        <v>660</v>
      </c>
      <c r="G77" s="511" t="e">
        <f t="shared" si="98"/>
        <v>#REF!</v>
      </c>
      <c r="H77" s="511" t="e">
        <f t="shared" si="98"/>
        <v>#REF!</v>
      </c>
      <c r="I77" s="511" t="e">
        <f t="shared" si="98"/>
        <v>#REF!</v>
      </c>
      <c r="J77" s="522" t="e">
        <f t="shared" si="95"/>
        <v>#REF!</v>
      </c>
      <c r="K77" s="522" t="str">
        <f t="shared" si="96"/>
        <v/>
      </c>
      <c r="L77" s="522" t="e">
        <f t="shared" si="97"/>
        <v>#REF!</v>
      </c>
      <c r="S77" s="511">
        <f t="shared" ref="S77:U77" si="99">S78</f>
        <v>502</v>
      </c>
      <c r="T77" s="511">
        <f t="shared" si="99"/>
        <v>0</v>
      </c>
      <c r="U77" s="511">
        <f t="shared" si="99"/>
        <v>502</v>
      </c>
    </row>
    <row r="78" s="1" customFormat="1" ht="21.75" customHeight="1" spans="1:21">
      <c r="A78" s="512" t="s">
        <v>377</v>
      </c>
      <c r="B78" s="513">
        <f t="shared" ref="B78:I78" si="100">SUM(B79)</f>
        <v>660</v>
      </c>
      <c r="C78" s="513">
        <f t="shared" si="100"/>
        <v>0</v>
      </c>
      <c r="D78" s="513">
        <f t="shared" si="100"/>
        <v>0</v>
      </c>
      <c r="E78" s="513">
        <f t="shared" si="100"/>
        <v>0</v>
      </c>
      <c r="F78" s="513">
        <f t="shared" si="100"/>
        <v>660</v>
      </c>
      <c r="G78" s="513" t="e">
        <f t="shared" si="100"/>
        <v>#REF!</v>
      </c>
      <c r="H78" s="513" t="e">
        <f t="shared" si="100"/>
        <v>#REF!</v>
      </c>
      <c r="I78" s="513" t="e">
        <f t="shared" si="100"/>
        <v>#REF!</v>
      </c>
      <c r="J78" s="523" t="e">
        <f t="shared" si="95"/>
        <v>#REF!</v>
      </c>
      <c r="K78" s="523" t="str">
        <f t="shared" si="96"/>
        <v/>
      </c>
      <c r="L78" s="523" t="e">
        <f t="shared" si="97"/>
        <v>#REF!</v>
      </c>
      <c r="S78" s="513">
        <f t="shared" ref="S78:U78" si="101">SUM(S79)</f>
        <v>502</v>
      </c>
      <c r="T78" s="513">
        <f t="shared" si="101"/>
        <v>0</v>
      </c>
      <c r="U78" s="513">
        <f t="shared" si="101"/>
        <v>502</v>
      </c>
    </row>
    <row r="79" s="1" customFormat="1" ht="21.75" customHeight="1" spans="1:21">
      <c r="A79" s="514" t="s">
        <v>378</v>
      </c>
      <c r="B79" s="515">
        <v>660</v>
      </c>
      <c r="C79" s="515"/>
      <c r="D79" s="515"/>
      <c r="E79" s="515"/>
      <c r="F79" s="515">
        <v>660</v>
      </c>
      <c r="G79" s="515" t="e">
        <f>SUM(H79:I79)</f>
        <v>#REF!</v>
      </c>
      <c r="H79" s="515" t="e">
        <f>SUMIFS('基本支出总表（铁）'!#REF!,'基本支出总表（铁）'!C:C,MID(A79,4,7))</f>
        <v>#REF!</v>
      </c>
      <c r="I79" s="515" t="e">
        <f>SUMIFS('项目支出总表（铁）'!#REF!,'项目支出总表（铁）'!C:C,MID(A79,4,7))+SUMIFS('项目支出总表（铁）'!#REF!,'项目支出总表（铁）'!C:C,MID(A79,4,7))</f>
        <v>#REF!</v>
      </c>
      <c r="J79" s="524" t="e">
        <f t="shared" si="95"/>
        <v>#REF!</v>
      </c>
      <c r="K79" s="524" t="str">
        <f t="shared" si="96"/>
        <v/>
      </c>
      <c r="L79" s="524" t="e">
        <f t="shared" si="97"/>
        <v>#REF!</v>
      </c>
      <c r="S79" s="515">
        <f>SUM(T79:U79)</f>
        <v>502</v>
      </c>
      <c r="T79" s="515">
        <f>SUMIFS('基本支出总表（铁）'!M:M,'基本支出总表（铁）'!C:C,MID(TRIM(A79),2,7))</f>
        <v>0</v>
      </c>
      <c r="U79" s="515">
        <f>SUMIFS('项目支出总表（铁）'!U:U,'项目支出总表（铁）'!C:C,MID(TRIM(A79),2,7))</f>
        <v>502</v>
      </c>
    </row>
    <row r="80" s="1" customFormat="1" ht="21.75" customHeight="1" spans="1:21">
      <c r="A80" s="510" t="s">
        <v>379</v>
      </c>
      <c r="B80" s="511">
        <f t="shared" ref="B80:I80" si="102">B81</f>
        <v>10</v>
      </c>
      <c r="C80" s="511">
        <f t="shared" si="102"/>
        <v>0</v>
      </c>
      <c r="D80" s="511">
        <f t="shared" si="102"/>
        <v>0</v>
      </c>
      <c r="E80" s="511">
        <f t="shared" si="102"/>
        <v>0</v>
      </c>
      <c r="F80" s="511">
        <f t="shared" si="102"/>
        <v>10</v>
      </c>
      <c r="G80" s="511" t="e">
        <f t="shared" si="102"/>
        <v>#REF!</v>
      </c>
      <c r="H80" s="511" t="e">
        <f t="shared" si="102"/>
        <v>#REF!</v>
      </c>
      <c r="I80" s="511" t="e">
        <f t="shared" si="102"/>
        <v>#REF!</v>
      </c>
      <c r="J80" s="522" t="e">
        <f t="shared" si="95"/>
        <v>#REF!</v>
      </c>
      <c r="K80" s="522" t="str">
        <f t="shared" si="96"/>
        <v/>
      </c>
      <c r="L80" s="522" t="e">
        <f t="shared" si="97"/>
        <v>#REF!</v>
      </c>
      <c r="S80" s="511">
        <f t="shared" ref="S80:U80" si="103">S81</f>
        <v>10</v>
      </c>
      <c r="T80" s="511">
        <f t="shared" si="103"/>
        <v>0</v>
      </c>
      <c r="U80" s="511">
        <f t="shared" si="103"/>
        <v>10</v>
      </c>
    </row>
    <row r="81" s="1" customFormat="1" ht="21.75" customHeight="1" spans="1:21">
      <c r="A81" s="512" t="s">
        <v>380</v>
      </c>
      <c r="B81" s="513">
        <f t="shared" ref="B81:I81" si="104">SUM(B82)</f>
        <v>10</v>
      </c>
      <c r="C81" s="513">
        <f t="shared" si="104"/>
        <v>0</v>
      </c>
      <c r="D81" s="513">
        <f t="shared" si="104"/>
        <v>0</v>
      </c>
      <c r="E81" s="513">
        <f t="shared" si="104"/>
        <v>0</v>
      </c>
      <c r="F81" s="513">
        <f t="shared" si="104"/>
        <v>10</v>
      </c>
      <c r="G81" s="513" t="e">
        <f t="shared" si="104"/>
        <v>#REF!</v>
      </c>
      <c r="H81" s="513" t="e">
        <f t="shared" si="104"/>
        <v>#REF!</v>
      </c>
      <c r="I81" s="513" t="e">
        <f t="shared" si="104"/>
        <v>#REF!</v>
      </c>
      <c r="J81" s="523" t="e">
        <f t="shared" si="95"/>
        <v>#REF!</v>
      </c>
      <c r="K81" s="523" t="str">
        <f t="shared" si="96"/>
        <v/>
      </c>
      <c r="L81" s="523" t="e">
        <f t="shared" si="97"/>
        <v>#REF!</v>
      </c>
      <c r="S81" s="513">
        <f t="shared" ref="S81:U81" si="105">SUM(S82)</f>
        <v>10</v>
      </c>
      <c r="T81" s="513">
        <f t="shared" si="105"/>
        <v>0</v>
      </c>
      <c r="U81" s="513">
        <f t="shared" si="105"/>
        <v>10</v>
      </c>
    </row>
    <row r="82" s="1" customFormat="1" ht="21.75" customHeight="1" spans="1:21">
      <c r="A82" s="514" t="s">
        <v>381</v>
      </c>
      <c r="B82" s="515">
        <v>10</v>
      </c>
      <c r="C82" s="515"/>
      <c r="D82" s="515"/>
      <c r="E82" s="515"/>
      <c r="F82" s="515">
        <v>10</v>
      </c>
      <c r="G82" s="515" t="e">
        <f>SUM(H82:I82)</f>
        <v>#REF!</v>
      </c>
      <c r="H82" s="515" t="e">
        <f>SUMIFS('基本支出总表（铁）'!#REF!,'基本支出总表（铁）'!C:C,MID(A82,4,7))</f>
        <v>#REF!</v>
      </c>
      <c r="I82" s="515" t="e">
        <f>SUMIFS('项目支出总表（铁）'!#REF!,'项目支出总表（铁）'!C:C,MID(A82,4,7))+SUMIFS('项目支出总表（铁）'!#REF!,'项目支出总表（铁）'!C:C,MID(A82,4,7))</f>
        <v>#REF!</v>
      </c>
      <c r="J82" s="524" t="e">
        <f t="shared" si="95"/>
        <v>#REF!</v>
      </c>
      <c r="K82" s="524" t="str">
        <f t="shared" si="96"/>
        <v/>
      </c>
      <c r="L82" s="524" t="e">
        <f t="shared" si="97"/>
        <v>#REF!</v>
      </c>
      <c r="S82" s="515">
        <f>SUM(T82:U82)</f>
        <v>10</v>
      </c>
      <c r="T82" s="515">
        <f>SUMIFS('基本支出总表（铁）'!M:M,'基本支出总表（铁）'!C:C,MID(TRIM(A82),2,5))</f>
        <v>0</v>
      </c>
      <c r="U82" s="515">
        <f>SUMIFS('项目支出总表（铁）'!U:U,'项目支出总表（铁）'!C:C,MID(TRIM(A82),2,5))</f>
        <v>10</v>
      </c>
    </row>
    <row r="83" ht="21.75" customHeight="1" spans="1:21">
      <c r="A83" s="525" t="s">
        <v>384</v>
      </c>
      <c r="B83" s="509">
        <f t="shared" ref="B83:I83" si="106">B6+B74</f>
        <v>25548.645737</v>
      </c>
      <c r="C83" s="509">
        <f t="shared" si="106"/>
        <v>10461.635737</v>
      </c>
      <c r="D83" s="509">
        <f t="shared" si="106"/>
        <v>9922.023616</v>
      </c>
      <c r="E83" s="509">
        <f t="shared" si="106"/>
        <v>539.612121</v>
      </c>
      <c r="F83" s="509">
        <f t="shared" si="106"/>
        <v>15087.01</v>
      </c>
      <c r="G83" s="509" t="e">
        <f t="shared" si="106"/>
        <v>#REF!</v>
      </c>
      <c r="H83" s="509" t="e">
        <f t="shared" si="106"/>
        <v>#REF!</v>
      </c>
      <c r="I83" s="509" t="e">
        <f t="shared" si="106"/>
        <v>#REF!</v>
      </c>
      <c r="J83" s="521" t="e">
        <f t="shared" si="95"/>
        <v>#REF!</v>
      </c>
      <c r="K83" s="521" t="e">
        <f t="shared" si="96"/>
        <v>#REF!</v>
      </c>
      <c r="L83" s="521" t="e">
        <f t="shared" si="97"/>
        <v>#REF!</v>
      </c>
      <c r="M83" s="1"/>
      <c r="R83" s="1"/>
      <c r="S83" s="509">
        <f>S6+S74</f>
        <v>21382.215737</v>
      </c>
      <c r="T83" s="509">
        <f>T6+T74</f>
        <v>10145.635737</v>
      </c>
      <c r="U83" s="509">
        <f>U6+U74</f>
        <v>11236.58</v>
      </c>
    </row>
  </sheetData>
  <sheetProtection formatCells="0" formatColumns="0" formatRows="0" insertRows="0" insertColumns="0" insertHyperlinks="0" deleteColumns="0" deleteRows="0" sort="0" autoFilter="0" pivotTables="0"/>
  <autoFilter ref="A1:U83">
    <extLst/>
  </autoFilter>
  <mergeCells count="8">
    <mergeCell ref="A2:L2"/>
    <mergeCell ref="C4:E4"/>
    <mergeCell ref="G4:I4"/>
    <mergeCell ref="J4:L4"/>
    <mergeCell ref="S4:U4"/>
    <mergeCell ref="A4:A5"/>
    <mergeCell ref="B4:B5"/>
    <mergeCell ref="F4:F5"/>
  </mergeCells>
  <printOptions horizontalCentered="1"/>
  <pageMargins left="0.393055555555556" right="0.393055555555556" top="0.590277777777778" bottom="0.393055555555556" header="0.393055555555556" footer="0.393055555555556"/>
  <pageSetup paperSize="9" scale="66" fitToHeight="0" orientation="portrait" horizontalDpi="300" verticalDpi="300"/>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W37"/>
  <sheetViews>
    <sheetView topLeftCell="D25" workbookViewId="0">
      <selection activeCell="X1" sqref="X$1:AB$1048576"/>
    </sheetView>
  </sheetViews>
  <sheetFormatPr defaultColWidth="9" defaultRowHeight="14.25"/>
  <cols>
    <col min="1" max="1" width="28.625" style="399" customWidth="1"/>
    <col min="2" max="4" width="9.125" style="456" customWidth="1"/>
    <col min="5" max="7" width="9.125" style="457" customWidth="1"/>
    <col min="8" max="8" width="28.625" style="399" customWidth="1"/>
    <col min="9" max="14" width="9.125" style="399" customWidth="1"/>
    <col min="15" max="15" width="4.625" style="399" customWidth="1"/>
    <col min="16" max="16" width="28.625" style="399" hidden="1" customWidth="1"/>
    <col min="17" max="19" width="9.625" style="399" hidden="1" customWidth="1"/>
    <col min="20" max="20" width="28.625" style="399" hidden="1" customWidth="1"/>
    <col min="21" max="23" width="9.625" style="399" hidden="1" customWidth="1"/>
    <col min="24" max="16366" width="9" style="399"/>
  </cols>
  <sheetData>
    <row r="1" s="399" customFormat="1" ht="32" customHeight="1" spans="1:14">
      <c r="A1" s="458" t="s">
        <v>407</v>
      </c>
      <c r="B1" s="458"/>
      <c r="C1" s="458"/>
      <c r="D1" s="458"/>
      <c r="E1" s="458"/>
      <c r="F1" s="458"/>
      <c r="G1" s="458"/>
      <c r="H1" s="458"/>
      <c r="I1" s="458"/>
      <c r="J1" s="458"/>
      <c r="K1" s="458"/>
      <c r="L1" s="458"/>
      <c r="M1" s="458"/>
      <c r="N1" s="458"/>
    </row>
    <row r="2" s="399" customFormat="1" ht="16" customHeight="1" spans="1:23">
      <c r="A2" s="459"/>
      <c r="B2" s="456"/>
      <c r="C2" s="456"/>
      <c r="D2" s="456"/>
      <c r="E2" s="457"/>
      <c r="F2" s="457"/>
      <c r="G2" s="457"/>
      <c r="H2" s="395"/>
      <c r="N2" s="395" t="s">
        <v>1</v>
      </c>
      <c r="P2" s="459"/>
      <c r="Q2" s="456"/>
      <c r="R2" s="456"/>
      <c r="S2" s="456"/>
      <c r="T2" s="395"/>
      <c r="W2" s="395" t="s">
        <v>1</v>
      </c>
    </row>
    <row r="3" s="399" customFormat="1" ht="24" customHeight="1" spans="1:23">
      <c r="A3" s="239" t="s">
        <v>2</v>
      </c>
      <c r="B3" s="239" t="s">
        <v>4</v>
      </c>
      <c r="C3" s="239"/>
      <c r="D3" s="239"/>
      <c r="E3" s="460" t="s">
        <v>5</v>
      </c>
      <c r="F3" s="460"/>
      <c r="G3" s="460"/>
      <c r="H3" s="239" t="s">
        <v>408</v>
      </c>
      <c r="I3" s="239" t="s">
        <v>4</v>
      </c>
      <c r="J3" s="239"/>
      <c r="K3" s="239"/>
      <c r="L3" s="460" t="s">
        <v>5</v>
      </c>
      <c r="M3" s="460"/>
      <c r="N3" s="460"/>
      <c r="P3" s="239" t="s">
        <v>2</v>
      </c>
      <c r="Q3" s="239" t="s">
        <v>3</v>
      </c>
      <c r="R3" s="239"/>
      <c r="S3" s="239"/>
      <c r="T3" s="239" t="s">
        <v>408</v>
      </c>
      <c r="U3" s="460" t="s">
        <v>3</v>
      </c>
      <c r="V3" s="460"/>
      <c r="W3" s="460"/>
    </row>
    <row r="4" s="399" customFormat="1" ht="24" customHeight="1" spans="1:23">
      <c r="A4" s="239"/>
      <c r="B4" s="358" t="s">
        <v>8</v>
      </c>
      <c r="C4" s="362" t="s">
        <v>9</v>
      </c>
      <c r="D4" s="362" t="s">
        <v>10</v>
      </c>
      <c r="E4" s="461" t="s">
        <v>8</v>
      </c>
      <c r="F4" s="462" t="s">
        <v>9</v>
      </c>
      <c r="G4" s="462" t="s">
        <v>10</v>
      </c>
      <c r="H4" s="239"/>
      <c r="I4" s="358" t="s">
        <v>8</v>
      </c>
      <c r="J4" s="362" t="s">
        <v>9</v>
      </c>
      <c r="K4" s="362" t="s">
        <v>10</v>
      </c>
      <c r="L4" s="461" t="s">
        <v>8</v>
      </c>
      <c r="M4" s="462" t="s">
        <v>9</v>
      </c>
      <c r="N4" s="462" t="s">
        <v>10</v>
      </c>
      <c r="P4" s="239"/>
      <c r="Q4" s="493" t="s">
        <v>8</v>
      </c>
      <c r="R4" s="479" t="s">
        <v>9</v>
      </c>
      <c r="S4" s="479" t="s">
        <v>10</v>
      </c>
      <c r="T4" s="239"/>
      <c r="U4" s="494" t="s">
        <v>8</v>
      </c>
      <c r="V4" s="495" t="s">
        <v>9</v>
      </c>
      <c r="W4" s="495" t="s">
        <v>10</v>
      </c>
    </row>
    <row r="5" s="399" customFormat="1" ht="24" customHeight="1" spans="1:23">
      <c r="A5" s="463" t="s">
        <v>409</v>
      </c>
      <c r="B5" s="464">
        <f>'01收入调整'!E6</f>
        <v>116130</v>
      </c>
      <c r="C5" s="464">
        <f>'01收入调整'!F6</f>
        <v>98800</v>
      </c>
      <c r="D5" s="464">
        <f>'01收入调整'!G6</f>
        <v>17330</v>
      </c>
      <c r="E5" s="464">
        <f>'01收入调整'!H6</f>
        <v>136260</v>
      </c>
      <c r="F5" s="464">
        <f>'01收入调整'!I6</f>
        <v>117900</v>
      </c>
      <c r="G5" s="464">
        <f>'01收入调整'!J6</f>
        <v>18360</v>
      </c>
      <c r="H5" s="465" t="s">
        <v>410</v>
      </c>
      <c r="I5" s="464" t="e">
        <f>J5+K5+0.5</f>
        <v>#REF!</v>
      </c>
      <c r="J5" s="464" t="e">
        <f>'[2]功能项级分类（开）'!B6</f>
        <v>#REF!</v>
      </c>
      <c r="K5" s="464" t="e">
        <f>'[2]功能项级分类（铁）'!B6</f>
        <v>#REF!</v>
      </c>
      <c r="L5" s="464">
        <f>INT(M5+N5)</f>
        <v>302785</v>
      </c>
      <c r="M5" s="464">
        <f>'02支出调整（功能分类 ）'!F6</f>
        <v>282325.341749</v>
      </c>
      <c r="N5" s="464">
        <f>'02支出调整（功能分类 ）'!G6</f>
        <v>20460.215737</v>
      </c>
      <c r="P5" s="463" t="s">
        <v>409</v>
      </c>
      <c r="Q5" s="496">
        <f>'[1]03收支平衡'!$K$6</f>
        <v>102584</v>
      </c>
      <c r="R5" s="496">
        <f>'[1]03收支平衡'!$L$6</f>
        <v>86051</v>
      </c>
      <c r="S5" s="496">
        <f>'[1]03收支平衡'!$M$6</f>
        <v>16533</v>
      </c>
      <c r="T5" s="463" t="s">
        <v>410</v>
      </c>
      <c r="U5" s="496">
        <f t="shared" ref="U5:W5" si="0">SUM(U7:U9)</f>
        <v>191659</v>
      </c>
      <c r="V5" s="496">
        <f t="shared" si="0"/>
        <v>168656</v>
      </c>
      <c r="W5" s="496">
        <f t="shared" si="0"/>
        <v>23003</v>
      </c>
    </row>
    <row r="6" s="399" customFormat="1" ht="24" customHeight="1" spans="1:23">
      <c r="A6" s="466" t="s">
        <v>411</v>
      </c>
      <c r="B6" s="464">
        <f t="shared" ref="B6:G6" si="1">SUM(B7,B20,B23,B27,B28)</f>
        <v>157596</v>
      </c>
      <c r="C6" s="464">
        <f t="shared" si="1"/>
        <v>141458</v>
      </c>
      <c r="D6" s="464">
        <f t="shared" si="1"/>
        <v>16138</v>
      </c>
      <c r="E6" s="464">
        <f t="shared" si="1"/>
        <v>243673.3531</v>
      </c>
      <c r="F6" s="464">
        <f t="shared" si="1"/>
        <v>233883.3531</v>
      </c>
      <c r="G6" s="464">
        <f t="shared" si="1"/>
        <v>9790</v>
      </c>
      <c r="H6" s="245" t="s">
        <v>412</v>
      </c>
      <c r="I6" s="464">
        <f t="shared" ref="I6:I24" si="2">J6+K6</f>
        <v>191607</v>
      </c>
      <c r="J6" s="489">
        <v>167249</v>
      </c>
      <c r="K6" s="489">
        <v>24358</v>
      </c>
      <c r="L6" s="464">
        <f t="shared" ref="L5:L24" si="3">M6+N6</f>
        <v>168072.557486</v>
      </c>
      <c r="M6" s="489">
        <f>M5-M7-M8-M9</f>
        <v>150956.341749</v>
      </c>
      <c r="N6" s="489">
        <f>N5-N7-N8-N9</f>
        <v>17116.215737</v>
      </c>
      <c r="P6" s="466" t="s">
        <v>411</v>
      </c>
      <c r="Q6" s="496">
        <f t="shared" ref="Q6:S6" si="4">SUM(Q7,Q20,Q23,Q27,Q28)</f>
        <v>160343</v>
      </c>
      <c r="R6" s="496">
        <f t="shared" si="4"/>
        <v>144974</v>
      </c>
      <c r="S6" s="496">
        <f t="shared" si="4"/>
        <v>15369</v>
      </c>
      <c r="T6" s="245" t="s">
        <v>413</v>
      </c>
      <c r="U6" s="496"/>
      <c r="V6" s="497"/>
      <c r="W6" s="497"/>
    </row>
    <row r="7" s="399" customFormat="1" ht="24" customHeight="1" spans="1:23">
      <c r="A7" s="467" t="s">
        <v>414</v>
      </c>
      <c r="B7" s="464">
        <f t="shared" ref="B7:G7" si="5">SUM(B8,B11,B17,B18)</f>
        <v>49719</v>
      </c>
      <c r="C7" s="464">
        <f t="shared" si="5"/>
        <v>34503</v>
      </c>
      <c r="D7" s="464">
        <f t="shared" si="5"/>
        <v>15216</v>
      </c>
      <c r="E7" s="464">
        <f t="shared" si="5"/>
        <v>42940.3531</v>
      </c>
      <c r="F7" s="464">
        <f t="shared" si="5"/>
        <v>35054.3531</v>
      </c>
      <c r="G7" s="464">
        <f t="shared" si="5"/>
        <v>7886</v>
      </c>
      <c r="H7" s="245" t="s">
        <v>415</v>
      </c>
      <c r="I7" s="464">
        <f t="shared" si="2"/>
        <v>0</v>
      </c>
      <c r="J7" s="471">
        <v>0</v>
      </c>
      <c r="K7" s="471">
        <v>0</v>
      </c>
      <c r="L7" s="464">
        <f t="shared" si="3"/>
        <v>20874</v>
      </c>
      <c r="M7" s="489">
        <f>INT('项目支出总表（开）'!Q6)</f>
        <v>20568</v>
      </c>
      <c r="N7" s="489">
        <f>INT('项目支出总表（铁）'!Q6)</f>
        <v>306</v>
      </c>
      <c r="P7" s="467" t="s">
        <v>414</v>
      </c>
      <c r="Q7" s="496">
        <f t="shared" ref="Q7:S7" si="6">SUM(Q8,Q11,Q17)</f>
        <v>96950</v>
      </c>
      <c r="R7" s="496">
        <f t="shared" si="6"/>
        <v>88890</v>
      </c>
      <c r="S7" s="496">
        <f t="shared" si="6"/>
        <v>8060</v>
      </c>
      <c r="T7" s="245" t="s">
        <v>412</v>
      </c>
      <c r="U7" s="496">
        <f t="shared" ref="U7:U17" si="7">V7+W7</f>
        <v>139939</v>
      </c>
      <c r="V7" s="497">
        <v>123782</v>
      </c>
      <c r="W7" s="497">
        <v>16157</v>
      </c>
    </row>
    <row r="8" s="399" customFormat="1" ht="24" customHeight="1" spans="1:23">
      <c r="A8" s="467" t="s">
        <v>416</v>
      </c>
      <c r="B8" s="464">
        <f t="shared" ref="B8:G8" si="8">SUM(B9,B10)</f>
        <v>15089</v>
      </c>
      <c r="C8" s="464">
        <f t="shared" si="8"/>
        <v>9752</v>
      </c>
      <c r="D8" s="464">
        <f t="shared" si="8"/>
        <v>5337</v>
      </c>
      <c r="E8" s="464">
        <f t="shared" si="8"/>
        <v>15824</v>
      </c>
      <c r="F8" s="464">
        <f t="shared" si="8"/>
        <v>10494</v>
      </c>
      <c r="G8" s="464">
        <f t="shared" si="8"/>
        <v>5330</v>
      </c>
      <c r="H8" s="245" t="s">
        <v>417</v>
      </c>
      <c r="I8" s="464">
        <f t="shared" si="2"/>
        <v>10770</v>
      </c>
      <c r="J8" s="489">
        <v>10501</v>
      </c>
      <c r="K8" s="489">
        <v>269</v>
      </c>
      <c r="L8" s="464">
        <f t="shared" si="3"/>
        <v>20322</v>
      </c>
      <c r="M8" s="489">
        <f>INT('基本支出总表（开）'!K6+'项目支出总表（开）'!J6+'项目支出总表（开）'!M6)-M9</f>
        <v>17906</v>
      </c>
      <c r="N8" s="489">
        <f>INT('基本支出总表（铁）'!K6+'项目支出总表（铁）'!J6+'项目支出总表（铁）'!M6)-N9</f>
        <v>2416</v>
      </c>
      <c r="P8" s="467" t="s">
        <v>418</v>
      </c>
      <c r="Q8" s="496">
        <f t="shared" ref="Q8:S8" si="9">SUM(Q9,Q10)</f>
        <v>15827</v>
      </c>
      <c r="R8" s="496">
        <f t="shared" si="9"/>
        <v>10497</v>
      </c>
      <c r="S8" s="496">
        <f t="shared" si="9"/>
        <v>5330</v>
      </c>
      <c r="T8" s="245" t="s">
        <v>417</v>
      </c>
      <c r="U8" s="496">
        <f t="shared" si="7"/>
        <v>44788</v>
      </c>
      <c r="V8" s="497">
        <v>41457</v>
      </c>
      <c r="W8" s="497">
        <v>3331</v>
      </c>
    </row>
    <row r="9" s="399" customFormat="1" ht="24" customHeight="1" spans="1:23">
      <c r="A9" s="467" t="s">
        <v>419</v>
      </c>
      <c r="B9" s="464">
        <f t="shared" ref="B9:B17" si="10">SUM(C9:D9)</f>
        <v>4990</v>
      </c>
      <c r="C9" s="468">
        <v>5571</v>
      </c>
      <c r="D9" s="468">
        <v>-581</v>
      </c>
      <c r="E9" s="464">
        <f t="shared" ref="E9:E17" si="11">SUM(F9:G9)</f>
        <v>4990</v>
      </c>
      <c r="F9" s="469">
        <v>5571</v>
      </c>
      <c r="G9" s="469">
        <v>-581</v>
      </c>
      <c r="H9" s="245" t="s">
        <v>420</v>
      </c>
      <c r="I9" s="464">
        <f t="shared" si="2"/>
        <v>0</v>
      </c>
      <c r="J9" s="471">
        <v>0</v>
      </c>
      <c r="K9" s="471">
        <v>0</v>
      </c>
      <c r="L9" s="464">
        <f t="shared" si="3"/>
        <v>93517</v>
      </c>
      <c r="M9" s="490">
        <f>1400+91495</f>
        <v>92895</v>
      </c>
      <c r="N9" s="490">
        <v>622</v>
      </c>
      <c r="P9" s="467" t="s">
        <v>419</v>
      </c>
      <c r="Q9" s="496">
        <f t="shared" ref="Q9:Q17" si="12">SUM(R9:S9)</f>
        <v>4990</v>
      </c>
      <c r="R9" s="498">
        <v>5571</v>
      </c>
      <c r="S9" s="498">
        <v>-581</v>
      </c>
      <c r="T9" s="245" t="s">
        <v>420</v>
      </c>
      <c r="U9" s="496">
        <f t="shared" si="7"/>
        <v>6932</v>
      </c>
      <c r="V9" s="497">
        <v>3417</v>
      </c>
      <c r="W9" s="497">
        <v>3515</v>
      </c>
    </row>
    <row r="10" s="399" customFormat="1" ht="24" customHeight="1" spans="1:23">
      <c r="A10" s="467" t="s">
        <v>421</v>
      </c>
      <c r="B10" s="464">
        <f t="shared" si="10"/>
        <v>10099</v>
      </c>
      <c r="C10" s="468">
        <v>4181</v>
      </c>
      <c r="D10" s="468">
        <v>5918</v>
      </c>
      <c r="E10" s="464">
        <f t="shared" si="11"/>
        <v>10834</v>
      </c>
      <c r="F10" s="468">
        <v>4923</v>
      </c>
      <c r="G10" s="468">
        <v>5911</v>
      </c>
      <c r="H10" s="466" t="s">
        <v>422</v>
      </c>
      <c r="I10" s="464">
        <f t="shared" si="2"/>
        <v>71349</v>
      </c>
      <c r="J10" s="464">
        <f>SUM(J11,J21,J24,J28,J27)</f>
        <v>62508</v>
      </c>
      <c r="K10" s="464">
        <f>SUM(K11,K21,K24,K28,K27)</f>
        <v>8841</v>
      </c>
      <c r="L10" s="464">
        <f t="shared" si="3"/>
        <v>77148</v>
      </c>
      <c r="M10" s="464">
        <f>SUM(M11,M21,M24,M28,M27)</f>
        <v>69458</v>
      </c>
      <c r="N10" s="464">
        <f>SUM(N11,N21,N24,N28,N27)</f>
        <v>7690</v>
      </c>
      <c r="P10" s="467" t="s">
        <v>421</v>
      </c>
      <c r="Q10" s="496">
        <f t="shared" si="12"/>
        <v>10837</v>
      </c>
      <c r="R10" s="498">
        <v>4926</v>
      </c>
      <c r="S10" s="498">
        <v>5911</v>
      </c>
      <c r="T10" s="499" t="s">
        <v>422</v>
      </c>
      <c r="U10" s="496">
        <f t="shared" si="7"/>
        <v>71268</v>
      </c>
      <c r="V10" s="496">
        <f>SUM(V11,V23,V24,V25,V26)</f>
        <v>62369</v>
      </c>
      <c r="W10" s="496">
        <f>SUM(W11,W23,W24,W25,W26)</f>
        <v>8899</v>
      </c>
    </row>
    <row r="11" s="399" customFormat="1" ht="24" customHeight="1" spans="1:23">
      <c r="A11" s="467" t="s">
        <v>423</v>
      </c>
      <c r="B11" s="464">
        <f t="shared" ref="B11:G11" si="13">SUM(B12:B16)</f>
        <v>25190</v>
      </c>
      <c r="C11" s="464">
        <f t="shared" si="13"/>
        <v>24751</v>
      </c>
      <c r="D11" s="464">
        <f t="shared" si="13"/>
        <v>439</v>
      </c>
      <c r="E11" s="464">
        <f t="shared" si="13"/>
        <v>27116.3531</v>
      </c>
      <c r="F11" s="464">
        <f t="shared" si="13"/>
        <v>24560.3531</v>
      </c>
      <c r="G11" s="464">
        <f t="shared" si="13"/>
        <v>2556</v>
      </c>
      <c r="H11" s="470" t="s">
        <v>424</v>
      </c>
      <c r="I11" s="464">
        <f t="shared" si="2"/>
        <v>49973</v>
      </c>
      <c r="J11" s="464">
        <f t="shared" ref="J11:N11" si="14">SUM(J12,J18,J19)</f>
        <v>42054</v>
      </c>
      <c r="K11" s="464">
        <f t="shared" si="14"/>
        <v>7919</v>
      </c>
      <c r="L11" s="464">
        <f t="shared" si="3"/>
        <v>42742</v>
      </c>
      <c r="M11" s="464">
        <f>SUM(M12,M18,M19)</f>
        <v>36474</v>
      </c>
      <c r="N11" s="464">
        <f t="shared" si="14"/>
        <v>6268</v>
      </c>
      <c r="P11" s="467" t="s">
        <v>423</v>
      </c>
      <c r="Q11" s="496">
        <f t="shared" ref="Q11:S11" si="15">SUM(Q12:Q16)</f>
        <v>61850</v>
      </c>
      <c r="R11" s="496">
        <f t="shared" si="15"/>
        <v>59122</v>
      </c>
      <c r="S11" s="496">
        <f t="shared" si="15"/>
        <v>2728</v>
      </c>
      <c r="T11" s="470" t="s">
        <v>424</v>
      </c>
      <c r="U11" s="496">
        <f t="shared" si="7"/>
        <v>33294</v>
      </c>
      <c r="V11" s="496">
        <f>SUM(V12,V20,V21)</f>
        <v>27874</v>
      </c>
      <c r="W11" s="496">
        <f>SUM(W12,W20,W21)</f>
        <v>5420</v>
      </c>
    </row>
    <row r="12" s="399" customFormat="1" ht="24" customHeight="1" spans="1:23">
      <c r="A12" s="467" t="s">
        <v>425</v>
      </c>
      <c r="B12" s="464">
        <f t="shared" si="10"/>
        <v>0</v>
      </c>
      <c r="C12" s="471">
        <v>0</v>
      </c>
      <c r="D12" s="471">
        <v>0</v>
      </c>
      <c r="E12" s="464">
        <f t="shared" si="11"/>
        <v>0</v>
      </c>
      <c r="F12" s="471">
        <v>0</v>
      </c>
      <c r="G12" s="471">
        <v>0</v>
      </c>
      <c r="H12" s="470" t="s">
        <v>426</v>
      </c>
      <c r="I12" s="464">
        <f t="shared" si="2"/>
        <v>36793</v>
      </c>
      <c r="J12" s="464">
        <f t="shared" ref="J12:N12" si="16">SUM(J13:J17)</f>
        <v>30369</v>
      </c>
      <c r="K12" s="464">
        <f t="shared" si="16"/>
        <v>6424</v>
      </c>
      <c r="L12" s="464">
        <f t="shared" si="3"/>
        <v>39002</v>
      </c>
      <c r="M12" s="464">
        <f>SUM(M13:M17)</f>
        <v>31683</v>
      </c>
      <c r="N12" s="464">
        <f t="shared" si="16"/>
        <v>7319</v>
      </c>
      <c r="P12" s="467" t="s">
        <v>425</v>
      </c>
      <c r="Q12" s="496">
        <f t="shared" si="12"/>
        <v>13657</v>
      </c>
      <c r="R12" s="497">
        <v>13657</v>
      </c>
      <c r="S12" s="497">
        <v>0</v>
      </c>
      <c r="T12" s="470" t="s">
        <v>426</v>
      </c>
      <c r="U12" s="496">
        <f t="shared" si="7"/>
        <v>29554</v>
      </c>
      <c r="V12" s="496">
        <f>SUM(V13:V17)</f>
        <v>24310</v>
      </c>
      <c r="W12" s="496">
        <f>SUM(W13:W17)</f>
        <v>5244</v>
      </c>
    </row>
    <row r="13" s="399" customFormat="1" ht="24" customHeight="1" spans="1:23">
      <c r="A13" s="467" t="s">
        <v>427</v>
      </c>
      <c r="B13" s="464">
        <f t="shared" si="10"/>
        <v>0</v>
      </c>
      <c r="C13" s="471">
        <v>0</v>
      </c>
      <c r="D13" s="471">
        <v>0</v>
      </c>
      <c r="E13" s="464">
        <f t="shared" si="11"/>
        <v>0</v>
      </c>
      <c r="F13" s="471">
        <v>0</v>
      </c>
      <c r="G13" s="471">
        <v>0</v>
      </c>
      <c r="H13" s="472" t="s">
        <v>428</v>
      </c>
      <c r="I13" s="464">
        <f t="shared" si="2"/>
        <v>225</v>
      </c>
      <c r="J13" s="489">
        <v>-198</v>
      </c>
      <c r="K13" s="489">
        <v>423</v>
      </c>
      <c r="L13" s="464">
        <f t="shared" si="3"/>
        <v>225</v>
      </c>
      <c r="M13" s="477">
        <v>-198</v>
      </c>
      <c r="N13" s="477">
        <v>423</v>
      </c>
      <c r="P13" s="467" t="s">
        <v>427</v>
      </c>
      <c r="Q13" s="496">
        <f t="shared" si="12"/>
        <v>0</v>
      </c>
      <c r="R13" s="497"/>
      <c r="S13" s="497">
        <v>0</v>
      </c>
      <c r="T13" s="472" t="s">
        <v>429</v>
      </c>
      <c r="U13" s="496">
        <f t="shared" si="7"/>
        <v>225</v>
      </c>
      <c r="V13" s="500">
        <v>-198</v>
      </c>
      <c r="W13" s="500">
        <v>423</v>
      </c>
    </row>
    <row r="14" s="399" customFormat="1" ht="24" customHeight="1" spans="1:23">
      <c r="A14" s="467" t="s">
        <v>430</v>
      </c>
      <c r="B14" s="464">
        <f t="shared" si="10"/>
        <v>13370</v>
      </c>
      <c r="C14" s="471">
        <v>13200</v>
      </c>
      <c r="D14" s="471">
        <v>170</v>
      </c>
      <c r="E14" s="464">
        <f t="shared" si="11"/>
        <v>3240</v>
      </c>
      <c r="F14" s="471">
        <v>3100</v>
      </c>
      <c r="G14" s="471">
        <v>140</v>
      </c>
      <c r="H14" s="472" t="s">
        <v>431</v>
      </c>
      <c r="I14" s="464">
        <f t="shared" si="2"/>
        <v>2008</v>
      </c>
      <c r="J14" s="471">
        <v>0</v>
      </c>
      <c r="K14" s="471">
        <v>2008</v>
      </c>
      <c r="L14" s="464">
        <f t="shared" si="3"/>
        <v>2578</v>
      </c>
      <c r="M14" s="491">
        <v>0</v>
      </c>
      <c r="N14" s="491">
        <f>INT(('01收入调整'!J5-'01收入调整'!J13-'01收入调整'!J19-'01收入调整'!J22-N17-('01收入调整'!J24-10)-1530)*0.6+0.5)</f>
        <v>2578</v>
      </c>
      <c r="P14" s="467" t="s">
        <v>430</v>
      </c>
      <c r="Q14" s="496">
        <f t="shared" si="12"/>
        <v>14458</v>
      </c>
      <c r="R14" s="497">
        <v>14264</v>
      </c>
      <c r="S14" s="497">
        <v>194</v>
      </c>
      <c r="T14" s="472" t="s">
        <v>432</v>
      </c>
      <c r="U14" s="496">
        <f t="shared" si="7"/>
        <v>1471</v>
      </c>
      <c r="V14" s="501">
        <v>0</v>
      </c>
      <c r="W14" s="501">
        <v>1471</v>
      </c>
    </row>
    <row r="15" s="399" customFormat="1" ht="24" customHeight="1" spans="1:23">
      <c r="A15" s="467" t="s">
        <v>433</v>
      </c>
      <c r="B15" s="464">
        <f t="shared" si="10"/>
        <v>1050</v>
      </c>
      <c r="C15" s="471">
        <v>1050</v>
      </c>
      <c r="D15" s="471">
        <v>0</v>
      </c>
      <c r="E15" s="464">
        <f t="shared" si="11"/>
        <v>0</v>
      </c>
      <c r="F15" s="471">
        <v>0</v>
      </c>
      <c r="G15" s="471">
        <v>0</v>
      </c>
      <c r="H15" s="472" t="s">
        <v>434</v>
      </c>
      <c r="I15" s="464">
        <f t="shared" si="2"/>
        <v>485</v>
      </c>
      <c r="J15" s="471">
        <v>0</v>
      </c>
      <c r="K15" s="489">
        <v>485</v>
      </c>
      <c r="L15" s="464">
        <f t="shared" si="3"/>
        <v>405</v>
      </c>
      <c r="M15" s="491">
        <v>0</v>
      </c>
      <c r="N15" s="491">
        <f>INT(342+('01收入调整'!J13-342)*0.4+0.5)</f>
        <v>405</v>
      </c>
      <c r="P15" s="467" t="s">
        <v>433</v>
      </c>
      <c r="Q15" s="496">
        <f t="shared" si="12"/>
        <v>0</v>
      </c>
      <c r="R15" s="497">
        <v>0</v>
      </c>
      <c r="S15" s="497">
        <v>0</v>
      </c>
      <c r="T15" s="472" t="s">
        <v>435</v>
      </c>
      <c r="U15" s="496">
        <f t="shared" si="7"/>
        <v>461</v>
      </c>
      <c r="V15" s="501">
        <v>0</v>
      </c>
      <c r="W15" s="501">
        <v>461</v>
      </c>
    </row>
    <row r="16" s="399" customFormat="1" ht="24" customHeight="1" spans="1:23">
      <c r="A16" s="467" t="s">
        <v>436</v>
      </c>
      <c r="B16" s="464">
        <f t="shared" si="10"/>
        <v>10770</v>
      </c>
      <c r="C16" s="471">
        <v>10501</v>
      </c>
      <c r="D16" s="471">
        <v>269</v>
      </c>
      <c r="E16" s="464">
        <f t="shared" si="11"/>
        <v>23876.3531</v>
      </c>
      <c r="F16" s="473">
        <f>'03-2结算转移支付（截至9月末）'!$C$2</f>
        <v>21460.3531</v>
      </c>
      <c r="G16" s="473">
        <f>'03-2结算转移支付（截至9月末）'!$D$2</f>
        <v>2416</v>
      </c>
      <c r="H16" s="472" t="s">
        <v>437</v>
      </c>
      <c r="I16" s="464">
        <f t="shared" si="2"/>
        <v>2359</v>
      </c>
      <c r="J16" s="489">
        <v>2084</v>
      </c>
      <c r="K16" s="489">
        <v>275</v>
      </c>
      <c r="L16" s="464">
        <f t="shared" si="3"/>
        <v>2334</v>
      </c>
      <c r="M16" s="491">
        <f>INT(235+('01收入调整'!I26-235)*0.5+1083*0.5+0.5)</f>
        <v>2084</v>
      </c>
      <c r="N16" s="491">
        <f>INT(149+('01收入调整'!J26-149)*0.5+0.5)</f>
        <v>250</v>
      </c>
      <c r="P16" s="467" t="s">
        <v>436</v>
      </c>
      <c r="Q16" s="496">
        <f t="shared" si="12"/>
        <v>33735</v>
      </c>
      <c r="R16" s="497">
        <v>31201</v>
      </c>
      <c r="S16" s="497">
        <v>2534</v>
      </c>
      <c r="T16" s="472" t="s">
        <v>438</v>
      </c>
      <c r="U16" s="496">
        <f t="shared" si="7"/>
        <v>2094</v>
      </c>
      <c r="V16" s="501">
        <v>1883</v>
      </c>
      <c r="W16" s="501">
        <v>211</v>
      </c>
    </row>
    <row r="17" s="399" customFormat="1" ht="24" customHeight="1" spans="1:23">
      <c r="A17" s="467" t="s">
        <v>439</v>
      </c>
      <c r="B17" s="464">
        <f t="shared" si="10"/>
        <v>0</v>
      </c>
      <c r="C17" s="471">
        <v>0</v>
      </c>
      <c r="D17" s="471">
        <v>0</v>
      </c>
      <c r="E17" s="464">
        <f t="shared" si="11"/>
        <v>0</v>
      </c>
      <c r="F17" s="471">
        <v>0</v>
      </c>
      <c r="G17" s="471">
        <v>0</v>
      </c>
      <c r="H17" s="472" t="s">
        <v>440</v>
      </c>
      <c r="I17" s="464">
        <f t="shared" si="2"/>
        <v>31716</v>
      </c>
      <c r="J17" s="489">
        <v>28483</v>
      </c>
      <c r="K17" s="489">
        <v>3233</v>
      </c>
      <c r="L17" s="464">
        <f t="shared" si="3"/>
        <v>33460</v>
      </c>
      <c r="M17" s="491">
        <f>INT(V17*'01收入调整'!I8/'01收入调整'!C8+0.5)</f>
        <v>29797</v>
      </c>
      <c r="N17" s="491">
        <f>INT(W17*'01收入调整'!J8/'01收入调整'!D8+0.5)</f>
        <v>3663</v>
      </c>
      <c r="P17" s="467" t="s">
        <v>439</v>
      </c>
      <c r="Q17" s="496">
        <f t="shared" si="12"/>
        <v>19273</v>
      </c>
      <c r="R17" s="497">
        <v>19271</v>
      </c>
      <c r="S17" s="497">
        <v>2</v>
      </c>
      <c r="T17" s="472" t="s">
        <v>441</v>
      </c>
      <c r="U17" s="496">
        <f t="shared" si="7"/>
        <v>25303</v>
      </c>
      <c r="V17" s="501">
        <v>22625</v>
      </c>
      <c r="W17" s="501">
        <v>2678</v>
      </c>
    </row>
    <row r="18" s="399" customFormat="1" ht="24" customHeight="1" spans="1:23">
      <c r="A18" s="474" t="s">
        <v>442</v>
      </c>
      <c r="B18" s="464">
        <f>C18+D18</f>
        <v>9440</v>
      </c>
      <c r="C18" s="464">
        <f t="shared" ref="C18:G18" si="17">C19</f>
        <v>0</v>
      </c>
      <c r="D18" s="464">
        <f t="shared" si="17"/>
        <v>9440</v>
      </c>
      <c r="E18" s="464">
        <f>F18+G18</f>
        <v>0</v>
      </c>
      <c r="F18" s="464">
        <f t="shared" si="17"/>
        <v>0</v>
      </c>
      <c r="G18" s="464">
        <f t="shared" si="17"/>
        <v>0</v>
      </c>
      <c r="H18" s="470" t="s">
        <v>443</v>
      </c>
      <c r="I18" s="464">
        <f t="shared" si="2"/>
        <v>3740</v>
      </c>
      <c r="J18" s="492">
        <v>2245</v>
      </c>
      <c r="K18" s="492">
        <v>1495</v>
      </c>
      <c r="L18" s="464">
        <f t="shared" si="3"/>
        <v>3740</v>
      </c>
      <c r="M18" s="477">
        <v>2245</v>
      </c>
      <c r="N18" s="477">
        <v>1495</v>
      </c>
      <c r="P18" s="467"/>
      <c r="Q18" s="496"/>
      <c r="R18" s="497"/>
      <c r="S18" s="497"/>
      <c r="T18" s="472"/>
      <c r="U18" s="496"/>
      <c r="V18" s="501"/>
      <c r="W18" s="501"/>
    </row>
    <row r="19" s="399" customFormat="1" ht="24" customHeight="1" spans="1:23">
      <c r="A19" s="475" t="s">
        <v>444</v>
      </c>
      <c r="B19" s="464">
        <f>C19+D19</f>
        <v>9440</v>
      </c>
      <c r="C19" s="471">
        <v>0</v>
      </c>
      <c r="D19" s="471">
        <v>9440</v>
      </c>
      <c r="E19" s="464">
        <f>F19+G19</f>
        <v>0</v>
      </c>
      <c r="F19" s="471">
        <v>0</v>
      </c>
      <c r="G19" s="471">
        <v>0</v>
      </c>
      <c r="H19" s="470" t="s">
        <v>445</v>
      </c>
      <c r="I19" s="464">
        <f t="shared" si="2"/>
        <v>9440</v>
      </c>
      <c r="J19" s="471">
        <f>SUM(J20:J20)</f>
        <v>9440</v>
      </c>
      <c r="K19" s="471">
        <f>SUM(K20:K20)</f>
        <v>0</v>
      </c>
      <c r="L19" s="464">
        <f t="shared" si="3"/>
        <v>0</v>
      </c>
      <c r="M19" s="471">
        <f>SUM(M20)</f>
        <v>2546</v>
      </c>
      <c r="N19" s="471">
        <f>SUM(N20)</f>
        <v>-2546</v>
      </c>
      <c r="P19" s="467"/>
      <c r="Q19" s="496"/>
      <c r="R19" s="497"/>
      <c r="S19" s="497"/>
      <c r="T19" s="472"/>
      <c r="U19" s="496"/>
      <c r="V19" s="501"/>
      <c r="W19" s="501"/>
    </row>
    <row r="20" s="399" customFormat="1" ht="24" customHeight="1" spans="1:23">
      <c r="A20" s="467" t="s">
        <v>446</v>
      </c>
      <c r="B20" s="464">
        <f t="shared" ref="B20:G20" si="18">SUM(B21:B22)</f>
        <v>0</v>
      </c>
      <c r="C20" s="464">
        <f t="shared" si="18"/>
        <v>0</v>
      </c>
      <c r="D20" s="464">
        <f t="shared" si="18"/>
        <v>0</v>
      </c>
      <c r="E20" s="464">
        <f t="shared" si="18"/>
        <v>22774</v>
      </c>
      <c r="F20" s="464">
        <f t="shared" si="18"/>
        <v>22774</v>
      </c>
      <c r="G20" s="464">
        <f t="shared" si="18"/>
        <v>0</v>
      </c>
      <c r="H20" s="476" t="s">
        <v>444</v>
      </c>
      <c r="I20" s="464">
        <f t="shared" si="2"/>
        <v>9440</v>
      </c>
      <c r="J20" s="471">
        <v>9440</v>
      </c>
      <c r="K20" s="471">
        <v>0</v>
      </c>
      <c r="L20" s="464">
        <f t="shared" si="3"/>
        <v>0</v>
      </c>
      <c r="M20" s="473">
        <v>2546</v>
      </c>
      <c r="N20" s="473">
        <v>-2546</v>
      </c>
      <c r="P20" s="467" t="s">
        <v>446</v>
      </c>
      <c r="Q20" s="496">
        <f t="shared" ref="Q20:S20" si="19">SUM(Q21:Q22)</f>
        <v>14190</v>
      </c>
      <c r="R20" s="496">
        <f t="shared" si="19"/>
        <v>14180</v>
      </c>
      <c r="S20" s="496">
        <f t="shared" si="19"/>
        <v>10</v>
      </c>
      <c r="T20" s="470" t="s">
        <v>443</v>
      </c>
      <c r="U20" s="496">
        <f t="shared" ref="U20:U29" si="20">V20+W20</f>
        <v>3740</v>
      </c>
      <c r="V20" s="500">
        <v>2245</v>
      </c>
      <c r="W20" s="500">
        <v>1495</v>
      </c>
    </row>
    <row r="21" s="399" customFormat="1" ht="24" customHeight="1" spans="1:23">
      <c r="A21" s="467" t="s">
        <v>447</v>
      </c>
      <c r="B21" s="464">
        <f t="shared" ref="B21:B28" si="21">SUM(C21:D21)</f>
        <v>0</v>
      </c>
      <c r="C21" s="477">
        <v>0</v>
      </c>
      <c r="D21" s="471">
        <v>0</v>
      </c>
      <c r="E21" s="464">
        <f t="shared" ref="E21:E28" si="22">SUM(F21:G21)</f>
        <v>22774</v>
      </c>
      <c r="F21" s="477">
        <v>22774</v>
      </c>
      <c r="G21" s="477">
        <v>0</v>
      </c>
      <c r="H21" s="470" t="s">
        <v>448</v>
      </c>
      <c r="I21" s="464">
        <f t="shared" si="2"/>
        <v>0</v>
      </c>
      <c r="J21" s="464">
        <f t="shared" ref="J21:N21" si="23">SUM(J22:J23)</f>
        <v>0</v>
      </c>
      <c r="K21" s="464">
        <f t="shared" si="23"/>
        <v>0</v>
      </c>
      <c r="L21" s="464">
        <f t="shared" si="3"/>
        <v>13030</v>
      </c>
      <c r="M21" s="464">
        <f t="shared" si="23"/>
        <v>12530</v>
      </c>
      <c r="N21" s="464">
        <f t="shared" si="23"/>
        <v>500</v>
      </c>
      <c r="P21" s="467" t="s">
        <v>447</v>
      </c>
      <c r="Q21" s="496">
        <f t="shared" ref="Q21:Q28" si="24">SUM(R21:S21)</f>
        <v>14190</v>
      </c>
      <c r="R21" s="500">
        <v>14180</v>
      </c>
      <c r="S21" s="497">
        <v>10</v>
      </c>
      <c r="T21" s="470" t="s">
        <v>445</v>
      </c>
      <c r="U21" s="496">
        <f t="shared" si="20"/>
        <v>0</v>
      </c>
      <c r="V21" s="497">
        <f>SUM(V22:V22)</f>
        <v>1319</v>
      </c>
      <c r="W21" s="497">
        <f>SUM(W22:W22)</f>
        <v>-1319</v>
      </c>
    </row>
    <row r="22" s="399" customFormat="1" ht="24" customHeight="1" spans="1:23">
      <c r="A22" s="467" t="s">
        <v>449</v>
      </c>
      <c r="B22" s="464">
        <f t="shared" si="21"/>
        <v>0</v>
      </c>
      <c r="C22" s="471">
        <v>0</v>
      </c>
      <c r="D22" s="471">
        <v>0</v>
      </c>
      <c r="E22" s="464">
        <f t="shared" si="22"/>
        <v>0</v>
      </c>
      <c r="F22" s="471">
        <v>0</v>
      </c>
      <c r="G22" s="471">
        <v>0</v>
      </c>
      <c r="H22" s="478" t="s">
        <v>450</v>
      </c>
      <c r="I22" s="464">
        <f t="shared" si="2"/>
        <v>0</v>
      </c>
      <c r="J22" s="471">
        <v>0</v>
      </c>
      <c r="K22" s="471">
        <v>0</v>
      </c>
      <c r="L22" s="464">
        <f t="shared" si="3"/>
        <v>13030</v>
      </c>
      <c r="M22" s="473">
        <v>12530</v>
      </c>
      <c r="N22" s="473">
        <v>500</v>
      </c>
      <c r="P22" s="467" t="s">
        <v>449</v>
      </c>
      <c r="Q22" s="496">
        <f t="shared" si="24"/>
        <v>0</v>
      </c>
      <c r="R22" s="497">
        <v>0</v>
      </c>
      <c r="S22" s="497">
        <v>0</v>
      </c>
      <c r="T22" s="476" t="s">
        <v>444</v>
      </c>
      <c r="U22" s="496">
        <f t="shared" si="20"/>
        <v>0</v>
      </c>
      <c r="V22" s="497">
        <v>1319</v>
      </c>
      <c r="W22" s="497">
        <v>-1319</v>
      </c>
    </row>
    <row r="23" s="399" customFormat="1" ht="24" customHeight="1" spans="1:23">
      <c r="A23" s="467" t="s">
        <v>451</v>
      </c>
      <c r="B23" s="464">
        <f t="shared" ref="B23:G23" si="25">SUM(B24:B26)</f>
        <v>89914</v>
      </c>
      <c r="C23" s="464">
        <f t="shared" si="25"/>
        <v>89914</v>
      </c>
      <c r="D23" s="464">
        <f t="shared" si="25"/>
        <v>0</v>
      </c>
      <c r="E23" s="464">
        <f t="shared" si="25"/>
        <v>59408</v>
      </c>
      <c r="F23" s="464">
        <f t="shared" si="25"/>
        <v>59408</v>
      </c>
      <c r="G23" s="464">
        <f t="shared" si="25"/>
        <v>0</v>
      </c>
      <c r="H23" s="478" t="s">
        <v>452</v>
      </c>
      <c r="I23" s="464">
        <f t="shared" si="2"/>
        <v>0</v>
      </c>
      <c r="J23" s="471">
        <v>0</v>
      </c>
      <c r="K23" s="471">
        <v>0</v>
      </c>
      <c r="L23" s="464">
        <f t="shared" si="3"/>
        <v>0</v>
      </c>
      <c r="M23" s="471">
        <v>0</v>
      </c>
      <c r="N23" s="471">
        <v>0</v>
      </c>
      <c r="P23" s="467" t="s">
        <v>451</v>
      </c>
      <c r="Q23" s="496">
        <f t="shared" ref="Q23:S23" si="26">SUM(Q24:Q26)</f>
        <v>26688</v>
      </c>
      <c r="R23" s="496">
        <f t="shared" si="26"/>
        <v>26383</v>
      </c>
      <c r="S23" s="496">
        <f t="shared" si="26"/>
        <v>305</v>
      </c>
      <c r="T23" s="478" t="s">
        <v>453</v>
      </c>
      <c r="U23" s="496">
        <f t="shared" si="20"/>
        <v>0</v>
      </c>
      <c r="V23" s="497">
        <v>0</v>
      </c>
      <c r="W23" s="497">
        <v>0</v>
      </c>
    </row>
    <row r="24" s="399" customFormat="1" ht="24" customHeight="1" spans="1:23">
      <c r="A24" s="467" t="s">
        <v>454</v>
      </c>
      <c r="B24" s="464">
        <f t="shared" si="21"/>
        <v>30000</v>
      </c>
      <c r="C24" s="477">
        <v>30000</v>
      </c>
      <c r="D24" s="471">
        <v>0</v>
      </c>
      <c r="E24" s="464">
        <f t="shared" si="22"/>
        <v>670</v>
      </c>
      <c r="F24" s="473">
        <v>670</v>
      </c>
      <c r="G24" s="471">
        <v>0</v>
      </c>
      <c r="H24" s="478" t="s">
        <v>455</v>
      </c>
      <c r="I24" s="464">
        <f t="shared" si="2"/>
        <v>0</v>
      </c>
      <c r="J24" s="471">
        <v>0</v>
      </c>
      <c r="K24" s="471">
        <v>0</v>
      </c>
      <c r="L24" s="464">
        <f t="shared" si="3"/>
        <v>0</v>
      </c>
      <c r="M24" s="471">
        <v>0</v>
      </c>
      <c r="N24" s="471">
        <v>0</v>
      </c>
      <c r="P24" s="467" t="s">
        <v>454</v>
      </c>
      <c r="Q24" s="496">
        <f t="shared" si="24"/>
        <v>14124</v>
      </c>
      <c r="R24" s="500">
        <v>13819</v>
      </c>
      <c r="S24" s="497">
        <v>305</v>
      </c>
      <c r="T24" s="478" t="s">
        <v>456</v>
      </c>
      <c r="U24" s="496">
        <f t="shared" si="20"/>
        <v>15200</v>
      </c>
      <c r="V24" s="500">
        <v>11721</v>
      </c>
      <c r="W24" s="500">
        <v>3479</v>
      </c>
    </row>
    <row r="25" s="399" customFormat="1" ht="24" customHeight="1" spans="1:23">
      <c r="A25" s="467" t="s">
        <v>457</v>
      </c>
      <c r="B25" s="464">
        <f t="shared" si="21"/>
        <v>6153</v>
      </c>
      <c r="C25" s="477">
        <v>6153</v>
      </c>
      <c r="D25" s="471">
        <v>0</v>
      </c>
      <c r="E25" s="464">
        <f t="shared" si="22"/>
        <v>736</v>
      </c>
      <c r="F25" s="473">
        <f>400+221+20+31+53+11</f>
        <v>736</v>
      </c>
      <c r="G25" s="471">
        <v>0</v>
      </c>
      <c r="H25" s="478"/>
      <c r="I25" s="464"/>
      <c r="J25" s="471"/>
      <c r="K25" s="471"/>
      <c r="L25" s="464"/>
      <c r="M25" s="471"/>
      <c r="N25" s="471"/>
      <c r="P25" s="467" t="s">
        <v>457</v>
      </c>
      <c r="Q25" s="496">
        <f t="shared" si="24"/>
        <v>10343</v>
      </c>
      <c r="R25" s="500">
        <v>10343</v>
      </c>
      <c r="S25" s="497">
        <v>0</v>
      </c>
      <c r="T25" s="478" t="s">
        <v>458</v>
      </c>
      <c r="U25" s="496">
        <f t="shared" si="20"/>
        <v>0</v>
      </c>
      <c r="V25" s="497">
        <v>0</v>
      </c>
      <c r="W25" s="497">
        <v>0</v>
      </c>
    </row>
    <row r="26" s="399" customFormat="1" ht="24" customHeight="1" spans="1:23">
      <c r="A26" s="467" t="s">
        <v>459</v>
      </c>
      <c r="B26" s="464">
        <f t="shared" si="21"/>
        <v>53761</v>
      </c>
      <c r="C26" s="471">
        <v>53761</v>
      </c>
      <c r="D26" s="471">
        <v>0</v>
      </c>
      <c r="E26" s="464">
        <f t="shared" si="22"/>
        <v>58002</v>
      </c>
      <c r="F26" s="473">
        <v>58002</v>
      </c>
      <c r="G26" s="471">
        <v>0</v>
      </c>
      <c r="H26" s="478"/>
      <c r="I26" s="464"/>
      <c r="J26" s="471"/>
      <c r="K26" s="471"/>
      <c r="L26" s="464"/>
      <c r="M26" s="471"/>
      <c r="N26" s="471"/>
      <c r="P26" s="467" t="s">
        <v>459</v>
      </c>
      <c r="Q26" s="496">
        <f t="shared" si="24"/>
        <v>2221</v>
      </c>
      <c r="R26" s="497">
        <v>2221</v>
      </c>
      <c r="S26" s="497"/>
      <c r="T26" s="470" t="s">
        <v>460</v>
      </c>
      <c r="U26" s="496">
        <f t="shared" si="20"/>
        <v>22774</v>
      </c>
      <c r="V26" s="496">
        <f>SUM(V27:V28)</f>
        <v>22774</v>
      </c>
      <c r="W26" s="496">
        <f>SUM(W27:W28)</f>
        <v>0</v>
      </c>
    </row>
    <row r="27" s="455" customFormat="1" ht="24" customHeight="1" spans="1:23">
      <c r="A27" s="467" t="s">
        <v>461</v>
      </c>
      <c r="B27" s="464">
        <f t="shared" si="21"/>
        <v>17963</v>
      </c>
      <c r="C27" s="471">
        <v>17041</v>
      </c>
      <c r="D27" s="471">
        <v>922</v>
      </c>
      <c r="E27" s="464">
        <f t="shared" si="22"/>
        <v>115080</v>
      </c>
      <c r="F27" s="473">
        <f>'09债券资金明细'!C6</f>
        <v>113236</v>
      </c>
      <c r="G27" s="473">
        <f>'09债券资金明细'!C7</f>
        <v>1844</v>
      </c>
      <c r="H27" s="478" t="s">
        <v>462</v>
      </c>
      <c r="I27" s="464">
        <f>J27+K27</f>
        <v>21376</v>
      </c>
      <c r="J27" s="477">
        <v>20454</v>
      </c>
      <c r="K27" s="477">
        <v>922</v>
      </c>
      <c r="L27" s="464">
        <f t="shared" ref="L27:L29" si="27">M27+N27</f>
        <v>21376</v>
      </c>
      <c r="M27" s="477">
        <v>20454</v>
      </c>
      <c r="N27" s="477">
        <v>922</v>
      </c>
      <c r="P27" s="467" t="s">
        <v>461</v>
      </c>
      <c r="Q27" s="496">
        <f t="shared" si="24"/>
        <v>22515</v>
      </c>
      <c r="R27" s="497">
        <v>15521</v>
      </c>
      <c r="S27" s="497">
        <v>6994</v>
      </c>
      <c r="T27" s="478" t="s">
        <v>450</v>
      </c>
      <c r="U27" s="496">
        <f t="shared" si="20"/>
        <v>22774</v>
      </c>
      <c r="V27" s="497">
        <v>22774</v>
      </c>
      <c r="W27" s="497">
        <v>0</v>
      </c>
    </row>
    <row r="28" s="455" customFormat="1" ht="24" customHeight="1" spans="1:23">
      <c r="A28" s="467" t="s">
        <v>463</v>
      </c>
      <c r="B28" s="464">
        <f t="shared" si="21"/>
        <v>0</v>
      </c>
      <c r="C28" s="468">
        <v>0</v>
      </c>
      <c r="D28" s="471">
        <v>0</v>
      </c>
      <c r="E28" s="464">
        <f t="shared" si="22"/>
        <v>3471</v>
      </c>
      <c r="F28" s="473">
        <v>3411</v>
      </c>
      <c r="G28" s="473">
        <v>60</v>
      </c>
      <c r="H28" s="478" t="s">
        <v>464</v>
      </c>
      <c r="I28" s="464">
        <f>J28+K28</f>
        <v>0</v>
      </c>
      <c r="J28" s="471">
        <v>0</v>
      </c>
      <c r="K28" s="471">
        <v>0</v>
      </c>
      <c r="L28" s="464">
        <f t="shared" si="27"/>
        <v>0</v>
      </c>
      <c r="M28" s="471">
        <v>0</v>
      </c>
      <c r="N28" s="471">
        <v>0</v>
      </c>
      <c r="P28" s="467" t="s">
        <v>465</v>
      </c>
      <c r="Q28" s="496">
        <f t="shared" si="24"/>
        <v>0</v>
      </c>
      <c r="R28" s="498"/>
      <c r="S28" s="497">
        <v>0</v>
      </c>
      <c r="T28" s="478" t="s">
        <v>452</v>
      </c>
      <c r="U28" s="496">
        <f t="shared" si="20"/>
        <v>0</v>
      </c>
      <c r="V28" s="497">
        <v>0</v>
      </c>
      <c r="W28" s="497">
        <v>0</v>
      </c>
    </row>
    <row r="29" s="399" customFormat="1" ht="24" customHeight="1" spans="1:23">
      <c r="A29" s="479" t="s">
        <v>466</v>
      </c>
      <c r="B29" s="480">
        <f t="shared" ref="B29:G29" si="28">SUM(B5,B6)</f>
        <v>273726</v>
      </c>
      <c r="C29" s="480">
        <f t="shared" si="28"/>
        <v>240258</v>
      </c>
      <c r="D29" s="480">
        <f t="shared" si="28"/>
        <v>33468</v>
      </c>
      <c r="E29" s="480">
        <f t="shared" si="28"/>
        <v>379933.3531</v>
      </c>
      <c r="F29" s="480">
        <f t="shared" si="28"/>
        <v>351783.3531</v>
      </c>
      <c r="G29" s="480">
        <f t="shared" si="28"/>
        <v>28150</v>
      </c>
      <c r="H29" s="481" t="s">
        <v>467</v>
      </c>
      <c r="I29" s="464" t="e">
        <f>J29+K29+0.5</f>
        <v>#REF!</v>
      </c>
      <c r="J29" s="480" t="e">
        <f>J5+J10</f>
        <v>#REF!</v>
      </c>
      <c r="K29" s="480" t="e">
        <f>K5+K10</f>
        <v>#REF!</v>
      </c>
      <c r="L29" s="464">
        <f>L5+L10</f>
        <v>379933</v>
      </c>
      <c r="M29" s="480">
        <f>M5+M10</f>
        <v>351783.341749</v>
      </c>
      <c r="N29" s="480">
        <f>N5+N10</f>
        <v>28150.215737</v>
      </c>
      <c r="P29" s="479" t="s">
        <v>466</v>
      </c>
      <c r="Q29" s="502">
        <f t="shared" ref="Q29:S29" si="29">SUM(Q5,Q6)</f>
        <v>262927</v>
      </c>
      <c r="R29" s="502">
        <f t="shared" si="29"/>
        <v>231025</v>
      </c>
      <c r="S29" s="502">
        <f t="shared" si="29"/>
        <v>31902</v>
      </c>
      <c r="T29" s="481" t="s">
        <v>467</v>
      </c>
      <c r="U29" s="496">
        <f t="shared" si="20"/>
        <v>262927</v>
      </c>
      <c r="V29" s="502">
        <f>V5+V10</f>
        <v>231025</v>
      </c>
      <c r="W29" s="502">
        <f>W5+W10</f>
        <v>31902</v>
      </c>
    </row>
    <row r="30" s="399" customFormat="1" ht="18" customHeight="1" spans="2:7">
      <c r="B30" s="482"/>
      <c r="C30" s="482"/>
      <c r="D30" s="482"/>
      <c r="E30" s="483"/>
      <c r="F30" s="483"/>
      <c r="G30" s="483"/>
    </row>
    <row r="31" spans="5:12">
      <c r="E31" s="484"/>
      <c r="F31" s="485"/>
      <c r="J31" s="486"/>
      <c r="L31" s="484"/>
    </row>
    <row r="32" spans="3:12">
      <c r="C32" s="486"/>
      <c r="E32" s="484">
        <f>E29-B29</f>
        <v>106207.3531</v>
      </c>
      <c r="F32" s="487"/>
      <c r="L32" s="484"/>
    </row>
    <row r="33" spans="3:5">
      <c r="C33" s="486"/>
      <c r="E33" s="484"/>
    </row>
    <row r="34" spans="5:5">
      <c r="E34" s="488"/>
    </row>
    <row r="36" spans="5:5">
      <c r="E36" s="488"/>
    </row>
    <row r="37" spans="5:5">
      <c r="E37" s="488"/>
    </row>
  </sheetData>
  <mergeCells count="11">
    <mergeCell ref="A1:N1"/>
    <mergeCell ref="B3:D3"/>
    <mergeCell ref="E3:G3"/>
    <mergeCell ref="I3:K3"/>
    <mergeCell ref="L3:N3"/>
    <mergeCell ref="Q3:S3"/>
    <mergeCell ref="U3:W3"/>
    <mergeCell ref="A3:A4"/>
    <mergeCell ref="H3:H4"/>
    <mergeCell ref="P3:P4"/>
    <mergeCell ref="T3:T4"/>
  </mergeCells>
  <printOptions horizontalCentered="1"/>
  <pageMargins left="0.393055555555556" right="0.196527777777778" top="0.590277777777778" bottom="0.393055555555556" header="0.393055555555556" footer="0.196527777777778"/>
  <pageSetup paperSize="9" scale="74" firstPageNumber="32" orientation="landscape" useFirstPageNumber="1" horizontalDpi="600"/>
  <headerFooter>
    <oddHeader>&amp;L&amp;"黑体"&amp;12表四：</oddHead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G89"/>
  <sheetViews>
    <sheetView showZeros="0" workbookViewId="0">
      <selection activeCell="G11" sqref="G11"/>
    </sheetView>
  </sheetViews>
  <sheetFormatPr defaultColWidth="9" defaultRowHeight="13.5" outlineLevelCol="6"/>
  <cols>
    <col min="1" max="1" width="20.625" style="434" customWidth="1"/>
    <col min="2" max="2" width="36.625" style="434" customWidth="1"/>
    <col min="3" max="4" width="11.625" style="435" customWidth="1"/>
    <col min="5" max="6" width="30.625" style="230" customWidth="1"/>
    <col min="7" max="7" width="20.625" style="436" customWidth="1"/>
    <col min="8" max="16384" width="9" style="230"/>
  </cols>
  <sheetData>
    <row r="1" s="433" customFormat="1" ht="26.25" customHeight="1" spans="1:7">
      <c r="A1" s="437" t="s">
        <v>468</v>
      </c>
      <c r="B1" s="437" t="s">
        <v>469</v>
      </c>
      <c r="C1" s="438" t="s">
        <v>9</v>
      </c>
      <c r="D1" s="439" t="s">
        <v>10</v>
      </c>
      <c r="E1" s="440" t="s">
        <v>470</v>
      </c>
      <c r="F1" s="440"/>
      <c r="G1" s="441"/>
    </row>
    <row r="2" s="433" customFormat="1" ht="26.25" customHeight="1" spans="1:7">
      <c r="A2" s="442" t="s">
        <v>471</v>
      </c>
      <c r="B2" s="443"/>
      <c r="C2" s="444">
        <f>SUM(C3:C89)</f>
        <v>21460.3531</v>
      </c>
      <c r="D2" s="445">
        <f>SUM(D3:D89)</f>
        <v>2416</v>
      </c>
      <c r="E2" s="320"/>
      <c r="F2" s="446"/>
      <c r="G2" s="436"/>
    </row>
    <row r="3" ht="26.25" customHeight="1" spans="1:6">
      <c r="A3" s="447" t="s">
        <v>472</v>
      </c>
      <c r="B3" s="447" t="s">
        <v>473</v>
      </c>
      <c r="C3" s="444">
        <f>17+11</f>
        <v>28</v>
      </c>
      <c r="D3" s="445"/>
      <c r="E3" s="320"/>
      <c r="F3" s="446"/>
    </row>
    <row r="4" ht="26.25" customHeight="1" spans="1:6">
      <c r="A4" s="447" t="s">
        <v>474</v>
      </c>
      <c r="B4" s="447" t="s">
        <v>475</v>
      </c>
      <c r="C4" s="444">
        <v>1931</v>
      </c>
      <c r="D4" s="445"/>
      <c r="E4" s="320"/>
      <c r="F4" s="446"/>
    </row>
    <row r="5" ht="26.25" customHeight="1" spans="1:6">
      <c r="A5" s="447" t="s">
        <v>476</v>
      </c>
      <c r="B5" s="447" t="s">
        <v>477</v>
      </c>
      <c r="C5" s="444">
        <v>83.368</v>
      </c>
      <c r="D5" s="445"/>
      <c r="E5" s="320"/>
      <c r="F5" s="446"/>
    </row>
    <row r="6" ht="26.25" customHeight="1" spans="1:6">
      <c r="A6" s="447" t="s">
        <v>478</v>
      </c>
      <c r="B6" s="447" t="s">
        <v>479</v>
      </c>
      <c r="C6" s="444"/>
      <c r="D6" s="445">
        <f>982+17+51</f>
        <v>1050</v>
      </c>
      <c r="E6" s="320"/>
      <c r="F6" s="320" t="s">
        <v>480</v>
      </c>
    </row>
    <row r="7" ht="26.25" customHeight="1" spans="1:6">
      <c r="A7" s="447" t="s">
        <v>481</v>
      </c>
      <c r="B7" s="447" t="s">
        <v>482</v>
      </c>
      <c r="C7" s="444">
        <f>1316+182+205</f>
        <v>1703</v>
      </c>
      <c r="D7" s="445">
        <f>156+31+34</f>
        <v>221</v>
      </c>
      <c r="E7" s="320" t="s">
        <v>483</v>
      </c>
      <c r="F7" s="448" t="s">
        <v>484</v>
      </c>
    </row>
    <row r="8" ht="26.25" customHeight="1" spans="1:6">
      <c r="A8" s="447" t="s">
        <v>485</v>
      </c>
      <c r="B8" s="447" t="s">
        <v>486</v>
      </c>
      <c r="C8" s="444">
        <v>14</v>
      </c>
      <c r="D8" s="445"/>
      <c r="E8" s="320" t="s">
        <v>487</v>
      </c>
      <c r="F8" s="448"/>
    </row>
    <row r="9" ht="26.25" customHeight="1" spans="1:6">
      <c r="A9" s="447" t="s">
        <v>488</v>
      </c>
      <c r="B9" s="447" t="s">
        <v>489</v>
      </c>
      <c r="C9" s="444">
        <v>432</v>
      </c>
      <c r="D9" s="445"/>
      <c r="E9" s="320" t="s">
        <v>490</v>
      </c>
      <c r="F9" s="448"/>
    </row>
    <row r="10" ht="26.25" customHeight="1" spans="1:6">
      <c r="A10" s="447" t="s">
        <v>491</v>
      </c>
      <c r="B10" s="447" t="s">
        <v>492</v>
      </c>
      <c r="C10" s="444">
        <v>4</v>
      </c>
      <c r="D10" s="445"/>
      <c r="E10" s="320" t="s">
        <v>493</v>
      </c>
      <c r="F10" s="448"/>
    </row>
    <row r="11" ht="26.25" customHeight="1" spans="1:6">
      <c r="A11" s="447" t="s">
        <v>494</v>
      </c>
      <c r="B11" s="447" t="s">
        <v>495</v>
      </c>
      <c r="C11" s="444">
        <v>18</v>
      </c>
      <c r="D11" s="445"/>
      <c r="E11" s="320"/>
      <c r="F11" s="449" t="s">
        <v>496</v>
      </c>
    </row>
    <row r="12" ht="26.25" customHeight="1" spans="1:6">
      <c r="A12" s="447" t="s">
        <v>497</v>
      </c>
      <c r="B12" s="447" t="s">
        <v>498</v>
      </c>
      <c r="C12" s="444">
        <v>36</v>
      </c>
      <c r="D12" s="445"/>
      <c r="E12" s="320" t="s">
        <v>499</v>
      </c>
      <c r="F12" s="448"/>
    </row>
    <row r="13" ht="26.25" customHeight="1" spans="1:6">
      <c r="A13" s="447" t="s">
        <v>500</v>
      </c>
      <c r="B13" s="447" t="s">
        <v>501</v>
      </c>
      <c r="C13" s="444">
        <f>8+3.4+25+6</f>
        <v>42.4</v>
      </c>
      <c r="D13" s="445"/>
      <c r="E13" s="320" t="s">
        <v>502</v>
      </c>
      <c r="F13" s="448"/>
    </row>
    <row r="14" ht="26.25" customHeight="1" spans="1:6">
      <c r="A14" s="92" t="s">
        <v>503</v>
      </c>
      <c r="B14" s="447" t="s">
        <v>504</v>
      </c>
      <c r="C14" s="444">
        <v>1</v>
      </c>
      <c r="D14" s="445"/>
      <c r="E14" s="320" t="s">
        <v>505</v>
      </c>
      <c r="F14" s="448"/>
    </row>
    <row r="15" ht="26.25" customHeight="1" spans="1:6">
      <c r="A15" s="447" t="s">
        <v>506</v>
      </c>
      <c r="B15" s="447" t="s">
        <v>507</v>
      </c>
      <c r="C15" s="444">
        <v>10</v>
      </c>
      <c r="D15" s="445"/>
      <c r="E15" s="320" t="s">
        <v>508</v>
      </c>
      <c r="F15" s="450" t="s">
        <v>509</v>
      </c>
    </row>
    <row r="16" ht="26.25" customHeight="1" spans="1:6">
      <c r="A16" s="447" t="s">
        <v>510</v>
      </c>
      <c r="B16" s="447" t="s">
        <v>511</v>
      </c>
      <c r="C16" s="444">
        <v>52.3</v>
      </c>
      <c r="D16" s="445"/>
      <c r="E16" s="320" t="s">
        <v>512</v>
      </c>
      <c r="F16" s="448"/>
    </row>
    <row r="17" ht="26.25" customHeight="1" spans="1:6">
      <c r="A17" s="447" t="s">
        <v>513</v>
      </c>
      <c r="B17" s="447" t="s">
        <v>514</v>
      </c>
      <c r="C17" s="444">
        <v>81</v>
      </c>
      <c r="D17" s="445"/>
      <c r="E17" s="320" t="s">
        <v>490</v>
      </c>
      <c r="F17" s="448"/>
    </row>
    <row r="18" ht="26.25" customHeight="1" spans="1:6">
      <c r="A18" s="447" t="s">
        <v>515</v>
      </c>
      <c r="B18" s="447" t="s">
        <v>516</v>
      </c>
      <c r="C18" s="444">
        <v>9</v>
      </c>
      <c r="D18" s="445"/>
      <c r="E18" s="320" t="s">
        <v>490</v>
      </c>
      <c r="F18" s="448"/>
    </row>
    <row r="19" ht="26.25" customHeight="1" spans="1:6">
      <c r="A19" s="447" t="s">
        <v>517</v>
      </c>
      <c r="B19" s="447" t="s">
        <v>518</v>
      </c>
      <c r="C19" s="444">
        <v>427</v>
      </c>
      <c r="D19" s="445">
        <v>219</v>
      </c>
      <c r="E19" s="320" t="s">
        <v>519</v>
      </c>
      <c r="F19" s="448"/>
    </row>
    <row r="20" ht="26.25" customHeight="1" spans="1:6">
      <c r="A20" s="447" t="s">
        <v>520</v>
      </c>
      <c r="B20" s="447" t="s">
        <v>521</v>
      </c>
      <c r="C20" s="444"/>
      <c r="D20" s="445">
        <v>61</v>
      </c>
      <c r="E20" s="320" t="s">
        <v>522</v>
      </c>
      <c r="F20" s="448"/>
    </row>
    <row r="21" ht="26.25" customHeight="1" spans="1:6">
      <c r="A21" s="447" t="s">
        <v>523</v>
      </c>
      <c r="B21" s="447" t="s">
        <v>524</v>
      </c>
      <c r="C21" s="444">
        <v>27.7421</v>
      </c>
      <c r="D21" s="445"/>
      <c r="E21" s="320" t="s">
        <v>525</v>
      </c>
      <c r="F21" s="448"/>
    </row>
    <row r="22" ht="26.25" customHeight="1" spans="1:6">
      <c r="A22" s="447" t="s">
        <v>526</v>
      </c>
      <c r="B22" s="447" t="s">
        <v>527</v>
      </c>
      <c r="C22" s="444">
        <v>66</v>
      </c>
      <c r="D22" s="445"/>
      <c r="E22" s="320" t="s">
        <v>528</v>
      </c>
      <c r="F22" s="450" t="s">
        <v>529</v>
      </c>
    </row>
    <row r="23" ht="26.25" customHeight="1" spans="1:6">
      <c r="A23" s="451" t="s">
        <v>530</v>
      </c>
      <c r="B23" s="451" t="s">
        <v>531</v>
      </c>
      <c r="C23" s="444">
        <v>3</v>
      </c>
      <c r="D23" s="445"/>
      <c r="E23" s="320" t="s">
        <v>532</v>
      </c>
      <c r="F23" s="448"/>
    </row>
    <row r="24" ht="26.25" customHeight="1" spans="1:6">
      <c r="A24" s="451" t="s">
        <v>533</v>
      </c>
      <c r="B24" s="451" t="s">
        <v>534</v>
      </c>
      <c r="C24" s="444">
        <v>939</v>
      </c>
      <c r="D24" s="445"/>
      <c r="E24" s="320" t="s">
        <v>535</v>
      </c>
      <c r="F24" s="450" t="s">
        <v>536</v>
      </c>
    </row>
    <row r="25" ht="26.25" customHeight="1" spans="1:6">
      <c r="A25" s="451" t="s">
        <v>537</v>
      </c>
      <c r="B25" s="451" t="s">
        <v>538</v>
      </c>
      <c r="C25" s="444">
        <f>311+3</f>
        <v>314</v>
      </c>
      <c r="D25" s="445"/>
      <c r="E25" s="320" t="s">
        <v>539</v>
      </c>
      <c r="F25" s="448"/>
    </row>
    <row r="26" ht="26.25" customHeight="1" spans="1:6">
      <c r="A26" s="451" t="s">
        <v>540</v>
      </c>
      <c r="B26" s="451" t="s">
        <v>541</v>
      </c>
      <c r="C26" s="444">
        <v>2</v>
      </c>
      <c r="D26" s="445"/>
      <c r="E26" s="320" t="s">
        <v>542</v>
      </c>
      <c r="F26" s="448"/>
    </row>
    <row r="27" ht="26.25" customHeight="1" spans="1:6">
      <c r="A27" s="451" t="s">
        <v>543</v>
      </c>
      <c r="B27" s="451" t="s">
        <v>544</v>
      </c>
      <c r="C27" s="444">
        <v>56</v>
      </c>
      <c r="D27" s="445"/>
      <c r="E27" s="320" t="s">
        <v>545</v>
      </c>
      <c r="F27" s="450" t="s">
        <v>546</v>
      </c>
    </row>
    <row r="28" ht="26.25" customHeight="1" spans="1:6">
      <c r="A28" s="451" t="s">
        <v>547</v>
      </c>
      <c r="B28" s="451" t="s">
        <v>548</v>
      </c>
      <c r="C28" s="444">
        <f>240+184</f>
        <v>424</v>
      </c>
      <c r="D28" s="445"/>
      <c r="E28" s="320"/>
      <c r="F28" s="452" t="s">
        <v>549</v>
      </c>
    </row>
    <row r="29" ht="26.25" customHeight="1" spans="1:6">
      <c r="A29" s="451" t="s">
        <v>550</v>
      </c>
      <c r="B29" s="451" t="s">
        <v>551</v>
      </c>
      <c r="C29" s="444">
        <f>10+2.7</f>
        <v>12.7</v>
      </c>
      <c r="D29" s="445"/>
      <c r="E29" s="320"/>
      <c r="F29" s="448"/>
    </row>
    <row r="30" ht="26.25" customHeight="1" spans="1:6">
      <c r="A30" s="451" t="s">
        <v>552</v>
      </c>
      <c r="B30" s="451" t="s">
        <v>553</v>
      </c>
      <c r="C30" s="444"/>
      <c r="D30" s="445">
        <v>65</v>
      </c>
      <c r="E30" s="320" t="s">
        <v>545</v>
      </c>
      <c r="F30" s="448"/>
    </row>
    <row r="31" ht="26.25" customHeight="1" spans="1:6">
      <c r="A31" s="451" t="s">
        <v>554</v>
      </c>
      <c r="B31" s="451" t="s">
        <v>555</v>
      </c>
      <c r="C31" s="444">
        <v>20</v>
      </c>
      <c r="D31" s="445"/>
      <c r="E31" s="320" t="s">
        <v>556</v>
      </c>
      <c r="F31" s="450" t="s">
        <v>557</v>
      </c>
    </row>
    <row r="32" ht="26.25" customHeight="1" spans="1:6">
      <c r="A32" s="451" t="s">
        <v>558</v>
      </c>
      <c r="B32" s="451" t="s">
        <v>559</v>
      </c>
      <c r="C32" s="444">
        <v>9</v>
      </c>
      <c r="D32" s="445"/>
      <c r="E32" s="320" t="s">
        <v>535</v>
      </c>
      <c r="F32" s="448"/>
    </row>
    <row r="33" ht="26.25" customHeight="1" spans="1:6">
      <c r="A33" s="451" t="s">
        <v>560</v>
      </c>
      <c r="B33" s="451" t="s">
        <v>561</v>
      </c>
      <c r="C33" s="444">
        <v>5</v>
      </c>
      <c r="D33" s="445"/>
      <c r="E33" s="320" t="s">
        <v>535</v>
      </c>
      <c r="F33" s="448"/>
    </row>
    <row r="34" ht="26.25" customHeight="1" spans="1:6">
      <c r="A34" s="451" t="s">
        <v>562</v>
      </c>
      <c r="B34" s="451" t="s">
        <v>563</v>
      </c>
      <c r="C34" s="444">
        <v>218</v>
      </c>
      <c r="D34" s="445"/>
      <c r="E34" s="320" t="s">
        <v>564</v>
      </c>
      <c r="F34" s="448"/>
    </row>
    <row r="35" ht="26.25" customHeight="1" spans="1:6">
      <c r="A35" s="451" t="s">
        <v>565</v>
      </c>
      <c r="B35" s="451" t="s">
        <v>566</v>
      </c>
      <c r="C35" s="444">
        <v>57</v>
      </c>
      <c r="D35" s="445">
        <v>8</v>
      </c>
      <c r="E35" s="320" t="s">
        <v>487</v>
      </c>
      <c r="F35" s="448"/>
    </row>
    <row r="36" ht="26.25" customHeight="1" spans="1:6">
      <c r="A36" s="451" t="s">
        <v>567</v>
      </c>
      <c r="B36" s="451" t="s">
        <v>568</v>
      </c>
      <c r="C36" s="444">
        <v>134</v>
      </c>
      <c r="D36" s="445">
        <v>60</v>
      </c>
      <c r="E36" s="320" t="s">
        <v>569</v>
      </c>
      <c r="F36" s="448"/>
    </row>
    <row r="37" ht="26.25" customHeight="1" spans="1:6">
      <c r="A37" s="451" t="s">
        <v>570</v>
      </c>
      <c r="B37" s="451" t="s">
        <v>571</v>
      </c>
      <c r="C37" s="444">
        <f>28+51</f>
        <v>79</v>
      </c>
      <c r="D37" s="445"/>
      <c r="E37" s="320" t="s">
        <v>572</v>
      </c>
      <c r="F37" s="448"/>
    </row>
    <row r="38" ht="26.25" customHeight="1" spans="1:6">
      <c r="A38" s="451" t="s">
        <v>573</v>
      </c>
      <c r="B38" s="451" t="s">
        <v>574</v>
      </c>
      <c r="C38" s="444">
        <v>30</v>
      </c>
      <c r="D38" s="445">
        <v>268</v>
      </c>
      <c r="E38" s="320" t="s">
        <v>569</v>
      </c>
      <c r="F38" s="448"/>
    </row>
    <row r="39" ht="26.25" customHeight="1" spans="1:6">
      <c r="A39" s="451" t="s">
        <v>575</v>
      </c>
      <c r="B39" s="451" t="s">
        <v>576</v>
      </c>
      <c r="C39" s="444">
        <v>5</v>
      </c>
      <c r="D39" s="445"/>
      <c r="E39" s="320"/>
      <c r="F39" s="448"/>
    </row>
    <row r="40" ht="26.25" customHeight="1" spans="1:6">
      <c r="A40" s="451" t="s">
        <v>577</v>
      </c>
      <c r="B40" s="451" t="s">
        <v>578</v>
      </c>
      <c r="C40" s="444">
        <v>1262</v>
      </c>
      <c r="D40" s="445"/>
      <c r="E40" s="320" t="s">
        <v>579</v>
      </c>
      <c r="F40" s="448"/>
    </row>
    <row r="41" ht="26.25" customHeight="1" spans="1:6">
      <c r="A41" s="447" t="s">
        <v>580</v>
      </c>
      <c r="B41" s="447" t="s">
        <v>581</v>
      </c>
      <c r="C41" s="453">
        <v>208</v>
      </c>
      <c r="D41" s="445"/>
      <c r="E41" s="320" t="s">
        <v>582</v>
      </c>
      <c r="F41" s="450" t="s">
        <v>583</v>
      </c>
    </row>
    <row r="42" ht="26.25" customHeight="1" spans="1:6">
      <c r="A42" s="451" t="s">
        <v>584</v>
      </c>
      <c r="B42" s="451" t="s">
        <v>585</v>
      </c>
      <c r="C42" s="444">
        <f>470+36</f>
        <v>506</v>
      </c>
      <c r="D42" s="445"/>
      <c r="E42" s="320" t="s">
        <v>586</v>
      </c>
      <c r="F42" s="450" t="s">
        <v>587</v>
      </c>
    </row>
    <row r="43" ht="26.25" customHeight="1" spans="1:6">
      <c r="A43" s="451" t="s">
        <v>588</v>
      </c>
      <c r="B43" s="451" t="s">
        <v>589</v>
      </c>
      <c r="C43" s="444">
        <f>282+40</f>
        <v>322</v>
      </c>
      <c r="D43" s="445"/>
      <c r="E43" s="320" t="s">
        <v>590</v>
      </c>
      <c r="F43" s="448"/>
    </row>
    <row r="44" ht="26.25" customHeight="1" spans="1:6">
      <c r="A44" s="451" t="s">
        <v>591</v>
      </c>
      <c r="B44" s="451" t="s">
        <v>592</v>
      </c>
      <c r="C44" s="444">
        <v>30</v>
      </c>
      <c r="D44" s="445"/>
      <c r="E44" s="320" t="s">
        <v>593</v>
      </c>
      <c r="F44" s="448"/>
    </row>
    <row r="45" ht="26.25" customHeight="1" spans="1:6">
      <c r="A45" s="451" t="s">
        <v>594</v>
      </c>
      <c r="B45" s="451" t="s">
        <v>595</v>
      </c>
      <c r="C45" s="444">
        <f>85+20</f>
        <v>105</v>
      </c>
      <c r="D45" s="445"/>
      <c r="E45" s="320" t="s">
        <v>596</v>
      </c>
      <c r="F45" s="450" t="s">
        <v>597</v>
      </c>
    </row>
    <row r="46" ht="26.25" customHeight="1" spans="1:6">
      <c r="A46" s="451" t="s">
        <v>598</v>
      </c>
      <c r="B46" s="451" t="s">
        <v>599</v>
      </c>
      <c r="C46" s="444">
        <v>30</v>
      </c>
      <c r="D46" s="445"/>
      <c r="E46" s="320" t="s">
        <v>600</v>
      </c>
      <c r="F46" s="448" t="s">
        <v>601</v>
      </c>
    </row>
    <row r="47" ht="26.25" customHeight="1" spans="1:6">
      <c r="A47" s="451" t="s">
        <v>602</v>
      </c>
      <c r="B47" s="451" t="s">
        <v>603</v>
      </c>
      <c r="C47" s="453">
        <v>456</v>
      </c>
      <c r="D47" s="445"/>
      <c r="E47" s="320" t="s">
        <v>582</v>
      </c>
      <c r="F47" s="448"/>
    </row>
    <row r="48" ht="26.25" customHeight="1" spans="1:6">
      <c r="A48" s="451" t="s">
        <v>604</v>
      </c>
      <c r="B48" s="451" t="s">
        <v>605</v>
      </c>
      <c r="C48" s="444">
        <f>1015+484</f>
        <v>1499</v>
      </c>
      <c r="D48" s="445"/>
      <c r="E48" s="320" t="s">
        <v>606</v>
      </c>
      <c r="F48" s="450" t="s">
        <v>607</v>
      </c>
    </row>
    <row r="49" ht="26.25" customHeight="1" spans="1:6">
      <c r="A49" s="451" t="s">
        <v>608</v>
      </c>
      <c r="B49" s="451" t="s">
        <v>609</v>
      </c>
      <c r="C49" s="444">
        <f>59.943+18</f>
        <v>77.943</v>
      </c>
      <c r="D49" s="445"/>
      <c r="E49" s="320" t="s">
        <v>545</v>
      </c>
      <c r="F49" s="448"/>
    </row>
    <row r="50" ht="26.25" customHeight="1" spans="1:6">
      <c r="A50" s="451" t="s">
        <v>610</v>
      </c>
      <c r="B50" s="451" t="s">
        <v>611</v>
      </c>
      <c r="C50" s="444">
        <f>60+28</f>
        <v>88</v>
      </c>
      <c r="D50" s="445"/>
      <c r="E50" s="320" t="s">
        <v>612</v>
      </c>
      <c r="F50" s="448" t="s">
        <v>613</v>
      </c>
    </row>
    <row r="51" ht="26.25" customHeight="1" spans="1:6">
      <c r="A51" s="451" t="s">
        <v>614</v>
      </c>
      <c r="B51" s="451" t="s">
        <v>615</v>
      </c>
      <c r="C51" s="444">
        <f>42+162</f>
        <v>204</v>
      </c>
      <c r="D51" s="445">
        <v>81</v>
      </c>
      <c r="E51" s="320" t="s">
        <v>616</v>
      </c>
      <c r="F51" s="448" t="s">
        <v>617</v>
      </c>
    </row>
    <row r="52" ht="26.25" customHeight="1" spans="1:6">
      <c r="A52" s="451" t="s">
        <v>618</v>
      </c>
      <c r="B52" s="451" t="s">
        <v>619</v>
      </c>
      <c r="C52" s="444">
        <v>13.6</v>
      </c>
      <c r="D52" s="445"/>
      <c r="E52" s="320" t="s">
        <v>545</v>
      </c>
      <c r="F52" s="448" t="s">
        <v>620</v>
      </c>
    </row>
    <row r="53" ht="26.25" customHeight="1" spans="1:6">
      <c r="A53" s="451" t="s">
        <v>621</v>
      </c>
      <c r="B53" s="451" t="s">
        <v>622</v>
      </c>
      <c r="C53" s="444">
        <v>10</v>
      </c>
      <c r="D53" s="445"/>
      <c r="E53" s="320" t="s">
        <v>545</v>
      </c>
      <c r="F53" s="450" t="s">
        <v>623</v>
      </c>
    </row>
    <row r="54" ht="26.25" customHeight="1" spans="1:6">
      <c r="A54" s="451" t="s">
        <v>624</v>
      </c>
      <c r="B54" s="451" t="s">
        <v>625</v>
      </c>
      <c r="C54" s="444">
        <v>1100</v>
      </c>
      <c r="D54" s="445"/>
      <c r="E54" s="320"/>
      <c r="F54" s="446"/>
    </row>
    <row r="55" ht="26.25" customHeight="1" spans="1:6">
      <c r="A55" s="451" t="s">
        <v>626</v>
      </c>
      <c r="B55" s="451" t="s">
        <v>627</v>
      </c>
      <c r="C55" s="444"/>
      <c r="D55" s="445">
        <v>11</v>
      </c>
      <c r="E55" s="320" t="s">
        <v>522</v>
      </c>
      <c r="F55" s="448"/>
    </row>
    <row r="56" ht="26.25" customHeight="1" spans="1:6">
      <c r="A56" s="451" t="s">
        <v>628</v>
      </c>
      <c r="B56" s="451" t="s">
        <v>629</v>
      </c>
      <c r="C56" s="444">
        <v>7</v>
      </c>
      <c r="D56" s="445"/>
      <c r="E56" s="320" t="s">
        <v>630</v>
      </c>
      <c r="F56" s="448"/>
    </row>
    <row r="57" ht="26.25" customHeight="1" spans="1:6">
      <c r="A57" s="451" t="s">
        <v>631</v>
      </c>
      <c r="B57" s="451" t="s">
        <v>632</v>
      </c>
      <c r="C57" s="444">
        <v>-1</v>
      </c>
      <c r="D57" s="445"/>
      <c r="E57" s="320"/>
      <c r="F57" s="449" t="s">
        <v>633</v>
      </c>
    </row>
    <row r="58" ht="26.25" customHeight="1" spans="1:6">
      <c r="A58" s="451" t="s">
        <v>634</v>
      </c>
      <c r="B58" s="451" t="s">
        <v>635</v>
      </c>
      <c r="C58" s="444">
        <v>20</v>
      </c>
      <c r="D58" s="445"/>
      <c r="E58" s="320" t="s">
        <v>636</v>
      </c>
      <c r="F58" s="448"/>
    </row>
    <row r="59" ht="26.25" customHeight="1" spans="1:6">
      <c r="A59" s="451" t="s">
        <v>637</v>
      </c>
      <c r="B59" s="451" t="s">
        <v>638</v>
      </c>
      <c r="C59" s="444">
        <v>120</v>
      </c>
      <c r="D59" s="445">
        <v>210</v>
      </c>
      <c r="E59" s="320" t="s">
        <v>639</v>
      </c>
      <c r="F59" s="448"/>
    </row>
    <row r="60" ht="26.25" customHeight="1" spans="1:6">
      <c r="A60" s="451" t="s">
        <v>640</v>
      </c>
      <c r="B60" s="451" t="s">
        <v>641</v>
      </c>
      <c r="C60" s="453">
        <v>918</v>
      </c>
      <c r="D60" s="445"/>
      <c r="E60" s="320" t="s">
        <v>582</v>
      </c>
      <c r="F60" s="448" t="s">
        <v>642</v>
      </c>
    </row>
    <row r="61" ht="26.25" customHeight="1" spans="1:6">
      <c r="A61" s="451" t="s">
        <v>643</v>
      </c>
      <c r="B61" s="451" t="s">
        <v>482</v>
      </c>
      <c r="C61" s="444">
        <f>264+112+35</f>
        <v>411</v>
      </c>
      <c r="D61" s="445">
        <f>12+6+4</f>
        <v>22</v>
      </c>
      <c r="E61" s="320" t="s">
        <v>535</v>
      </c>
      <c r="F61" s="448"/>
    </row>
    <row r="62" ht="26.25" customHeight="1" spans="1:6">
      <c r="A62" s="451" t="s">
        <v>644</v>
      </c>
      <c r="B62" s="451" t="s">
        <v>645</v>
      </c>
      <c r="C62" s="444">
        <v>70</v>
      </c>
      <c r="D62" s="445"/>
      <c r="E62" s="320" t="s">
        <v>646</v>
      </c>
      <c r="F62" s="448"/>
    </row>
    <row r="63" ht="26.25" customHeight="1" spans="1:6">
      <c r="A63" s="451" t="s">
        <v>647</v>
      </c>
      <c r="B63" s="451" t="s">
        <v>648</v>
      </c>
      <c r="C63" s="444">
        <v>183.3</v>
      </c>
      <c r="D63" s="445"/>
      <c r="E63" s="320" t="s">
        <v>649</v>
      </c>
      <c r="F63" s="448"/>
    </row>
    <row r="64" ht="26.25" customHeight="1" spans="1:6">
      <c r="A64" s="451" t="s">
        <v>650</v>
      </c>
      <c r="B64" s="451" t="s">
        <v>651</v>
      </c>
      <c r="C64" s="444">
        <v>274</v>
      </c>
      <c r="D64" s="445"/>
      <c r="E64" s="320" t="s">
        <v>652</v>
      </c>
      <c r="F64" s="448"/>
    </row>
    <row r="65" ht="26.25" customHeight="1" spans="1:6">
      <c r="A65" s="451" t="s">
        <v>653</v>
      </c>
      <c r="B65" s="451" t="s">
        <v>654</v>
      </c>
      <c r="C65" s="444">
        <v>49.5</v>
      </c>
      <c r="D65" s="445"/>
      <c r="E65" s="320" t="s">
        <v>655</v>
      </c>
      <c r="F65" s="448" t="s">
        <v>656</v>
      </c>
    </row>
    <row r="66" ht="26.25" customHeight="1" spans="1:6">
      <c r="A66" s="451" t="s">
        <v>657</v>
      </c>
      <c r="B66" s="451" t="s">
        <v>658</v>
      </c>
      <c r="C66" s="444">
        <f>47+55+34</f>
        <v>136</v>
      </c>
      <c r="D66" s="445"/>
      <c r="E66" s="320" t="s">
        <v>659</v>
      </c>
      <c r="F66" s="448"/>
    </row>
    <row r="67" ht="26.25" customHeight="1" spans="1:6">
      <c r="A67" s="451" t="s">
        <v>660</v>
      </c>
      <c r="B67" s="451" t="s">
        <v>661</v>
      </c>
      <c r="C67" s="444">
        <v>180</v>
      </c>
      <c r="D67" s="445"/>
      <c r="E67" s="320" t="s">
        <v>662</v>
      </c>
      <c r="F67" s="448"/>
    </row>
    <row r="68" ht="26.25" customHeight="1" spans="1:6">
      <c r="A68" s="451" t="s">
        <v>663</v>
      </c>
      <c r="B68" s="451" t="s">
        <v>664</v>
      </c>
      <c r="C68" s="444">
        <v>1647</v>
      </c>
      <c r="D68" s="445"/>
      <c r="E68" s="320" t="s">
        <v>502</v>
      </c>
      <c r="F68" s="448"/>
    </row>
    <row r="69" ht="26.25" customHeight="1" spans="1:6">
      <c r="A69" s="451" t="s">
        <v>665</v>
      </c>
      <c r="B69" s="451" t="s">
        <v>666</v>
      </c>
      <c r="C69" s="444">
        <v>5</v>
      </c>
      <c r="D69" s="445"/>
      <c r="E69" s="320" t="s">
        <v>667</v>
      </c>
      <c r="F69" s="448" t="s">
        <v>668</v>
      </c>
    </row>
    <row r="70" ht="26.25" customHeight="1" spans="1:6">
      <c r="A70" s="451" t="s">
        <v>669</v>
      </c>
      <c r="B70" s="451" t="s">
        <v>670</v>
      </c>
      <c r="C70" s="444">
        <v>1</v>
      </c>
      <c r="D70" s="445"/>
      <c r="E70" s="320" t="s">
        <v>662</v>
      </c>
      <c r="F70" s="448"/>
    </row>
    <row r="71" ht="26.25" customHeight="1" spans="1:6">
      <c r="A71" s="451" t="s">
        <v>671</v>
      </c>
      <c r="B71" s="451" t="s">
        <v>672</v>
      </c>
      <c r="C71" s="444">
        <v>10</v>
      </c>
      <c r="D71" s="445"/>
      <c r="E71" s="320" t="s">
        <v>525</v>
      </c>
      <c r="F71" s="448" t="s">
        <v>673</v>
      </c>
    </row>
    <row r="72" ht="26.25" customHeight="1" spans="1:6">
      <c r="A72" s="451" t="s">
        <v>674</v>
      </c>
      <c r="B72" s="451" t="s">
        <v>675</v>
      </c>
      <c r="C72" s="444">
        <f>200+24+24+24</f>
        <v>272</v>
      </c>
      <c r="D72" s="445"/>
      <c r="E72" s="320" t="s">
        <v>676</v>
      </c>
      <c r="F72" s="446" t="s">
        <v>677</v>
      </c>
    </row>
    <row r="73" ht="26.25" customHeight="1" spans="1:6">
      <c r="A73" s="451" t="s">
        <v>678</v>
      </c>
      <c r="B73" s="451" t="s">
        <v>679</v>
      </c>
      <c r="C73" s="444">
        <v>24</v>
      </c>
      <c r="D73" s="445"/>
      <c r="E73" s="320" t="s">
        <v>676</v>
      </c>
      <c r="F73" s="448" t="s">
        <v>680</v>
      </c>
    </row>
    <row r="74" ht="26.25" customHeight="1" spans="1:6">
      <c r="A74" s="451" t="s">
        <v>681</v>
      </c>
      <c r="B74" s="451" t="s">
        <v>682</v>
      </c>
      <c r="C74" s="444">
        <f>20+780</f>
        <v>800</v>
      </c>
      <c r="D74" s="445"/>
      <c r="E74" s="320" t="s">
        <v>683</v>
      </c>
      <c r="F74" s="448" t="s">
        <v>684</v>
      </c>
    </row>
    <row r="75" ht="26.25" customHeight="1" spans="1:7">
      <c r="A75" s="451" t="s">
        <v>685</v>
      </c>
      <c r="B75" s="451" t="s">
        <v>686</v>
      </c>
      <c r="C75" s="444">
        <f>1+10</f>
        <v>11</v>
      </c>
      <c r="D75" s="445">
        <f>17+99</f>
        <v>116</v>
      </c>
      <c r="E75" s="320" t="s">
        <v>569</v>
      </c>
      <c r="F75" s="448"/>
      <c r="G75" s="436" t="s">
        <v>687</v>
      </c>
    </row>
    <row r="76" ht="26.25" customHeight="1" spans="1:6">
      <c r="A76" s="451" t="s">
        <v>688</v>
      </c>
      <c r="B76" s="451" t="s">
        <v>689</v>
      </c>
      <c r="C76" s="444">
        <v>647</v>
      </c>
      <c r="D76" s="445"/>
      <c r="E76" s="320" t="s">
        <v>579</v>
      </c>
      <c r="F76" s="448"/>
    </row>
    <row r="77" ht="26.25" customHeight="1" spans="1:6">
      <c r="A77" s="451" t="s">
        <v>690</v>
      </c>
      <c r="B77" s="451" t="s">
        <v>691</v>
      </c>
      <c r="C77" s="444">
        <f>7+3</f>
        <v>10</v>
      </c>
      <c r="D77" s="445"/>
      <c r="E77" s="320" t="s">
        <v>505</v>
      </c>
      <c r="F77" s="448"/>
    </row>
    <row r="78" ht="26.25" customHeight="1" spans="1:6">
      <c r="A78" s="451" t="s">
        <v>692</v>
      </c>
      <c r="B78" s="451" t="s">
        <v>693</v>
      </c>
      <c r="C78" s="444">
        <v>29.3</v>
      </c>
      <c r="D78" s="445"/>
      <c r="E78" s="320" t="s">
        <v>564</v>
      </c>
      <c r="F78" s="448"/>
    </row>
    <row r="79" ht="26.25" customHeight="1" spans="1:6">
      <c r="A79" s="451" t="s">
        <v>694</v>
      </c>
      <c r="B79" s="451" t="s">
        <v>695</v>
      </c>
      <c r="C79" s="444">
        <v>45</v>
      </c>
      <c r="D79" s="445"/>
      <c r="E79" s="320" t="s">
        <v>696</v>
      </c>
      <c r="F79" s="448"/>
    </row>
    <row r="80" ht="26.25" customHeight="1" spans="1:6">
      <c r="A80" s="451" t="s">
        <v>697</v>
      </c>
      <c r="B80" s="451" t="s">
        <v>698</v>
      </c>
      <c r="C80" s="444">
        <v>1600</v>
      </c>
      <c r="D80" s="445"/>
      <c r="E80" s="320" t="s">
        <v>699</v>
      </c>
      <c r="F80" s="448" t="s">
        <v>700</v>
      </c>
    </row>
    <row r="81" ht="26.25" customHeight="1" spans="1:7">
      <c r="A81" s="451" t="s">
        <v>701</v>
      </c>
      <c r="B81" s="451" t="s">
        <v>702</v>
      </c>
      <c r="C81" s="444">
        <v>25</v>
      </c>
      <c r="D81" s="445"/>
      <c r="E81" s="320" t="s">
        <v>535</v>
      </c>
      <c r="F81" s="448"/>
      <c r="G81" s="436" t="s">
        <v>703</v>
      </c>
    </row>
    <row r="82" ht="26.25" customHeight="1" spans="1:6">
      <c r="A82" s="451" t="s">
        <v>704</v>
      </c>
      <c r="B82" s="451" t="s">
        <v>705</v>
      </c>
      <c r="C82" s="444">
        <v>92</v>
      </c>
      <c r="D82" s="445"/>
      <c r="E82" s="320" t="s">
        <v>539</v>
      </c>
      <c r="F82" s="448"/>
    </row>
    <row r="83" ht="26.25" customHeight="1" spans="1:6">
      <c r="A83" s="451" t="s">
        <v>706</v>
      </c>
      <c r="B83" s="451" t="s">
        <v>707</v>
      </c>
      <c r="C83" s="444">
        <v>43.7</v>
      </c>
      <c r="D83" s="445"/>
      <c r="E83" s="320" t="s">
        <v>512</v>
      </c>
      <c r="F83" s="448"/>
    </row>
    <row r="84" ht="26.25" customHeight="1" spans="1:7">
      <c r="A84" s="451" t="s">
        <v>708</v>
      </c>
      <c r="B84" s="451" t="s">
        <v>709</v>
      </c>
      <c r="C84" s="444">
        <v>23.5</v>
      </c>
      <c r="D84" s="445"/>
      <c r="E84" s="320" t="s">
        <v>512</v>
      </c>
      <c r="F84" s="448"/>
      <c r="G84" s="436" t="s">
        <v>710</v>
      </c>
    </row>
    <row r="85" ht="26.25" customHeight="1" spans="1:6">
      <c r="A85" s="451" t="s">
        <v>711</v>
      </c>
      <c r="B85" s="451" t="s">
        <v>712</v>
      </c>
      <c r="C85" s="444">
        <f>26+73</f>
        <v>99</v>
      </c>
      <c r="D85" s="445"/>
      <c r="E85" s="320" t="s">
        <v>572</v>
      </c>
      <c r="F85" s="448"/>
    </row>
    <row r="86" ht="26.25" customHeight="1" spans="1:6">
      <c r="A86" s="451" t="s">
        <v>713</v>
      </c>
      <c r="B86" s="451" t="s">
        <v>714</v>
      </c>
      <c r="C86" s="444">
        <f>9+68</f>
        <v>77</v>
      </c>
      <c r="D86" s="445">
        <v>24</v>
      </c>
      <c r="E86" s="320" t="s">
        <v>616</v>
      </c>
      <c r="F86" s="448"/>
    </row>
    <row r="87" ht="26.25" customHeight="1" spans="1:6">
      <c r="A87" s="451" t="s">
        <v>715</v>
      </c>
      <c r="B87" s="451" t="s">
        <v>716</v>
      </c>
      <c r="C87" s="444">
        <v>72</v>
      </c>
      <c r="D87" s="445"/>
      <c r="E87" s="320" t="s">
        <v>717</v>
      </c>
      <c r="F87" s="454" t="s">
        <v>718</v>
      </c>
    </row>
    <row r="88" ht="26.25" customHeight="1" spans="1:6">
      <c r="A88" s="451" t="s">
        <v>719</v>
      </c>
      <c r="B88" s="451" t="s">
        <v>720</v>
      </c>
      <c r="C88" s="444">
        <v>374</v>
      </c>
      <c r="D88" s="445"/>
      <c r="E88" s="320" t="s">
        <v>582</v>
      </c>
      <c r="F88" s="454"/>
    </row>
    <row r="89" ht="26.25" customHeight="1" spans="1:6">
      <c r="A89" s="451"/>
      <c r="B89" s="451"/>
      <c r="C89" s="444"/>
      <c r="D89" s="445"/>
      <c r="E89" s="320"/>
      <c r="F89" s="454"/>
    </row>
  </sheetData>
  <autoFilter ref="A1:F89">
    <extLst/>
  </autoFilter>
  <conditionalFormatting sqref="A1">
    <cfRule type="duplicateValues" dxfId="0" priority="83"/>
  </conditionalFormatting>
  <conditionalFormatting sqref="A2">
    <cfRule type="duplicateValues" dxfId="0" priority="15"/>
  </conditionalFormatting>
  <conditionalFormatting sqref="A13">
    <cfRule type="duplicateValues" dxfId="0" priority="32"/>
  </conditionalFormatting>
  <conditionalFormatting sqref="A15">
    <cfRule type="duplicateValues" dxfId="0" priority="29"/>
  </conditionalFormatting>
  <conditionalFormatting sqref="A16">
    <cfRule type="duplicateValues" dxfId="0" priority="28"/>
  </conditionalFormatting>
  <conditionalFormatting sqref="A17">
    <cfRule type="duplicateValues" dxfId="0" priority="23"/>
  </conditionalFormatting>
  <conditionalFormatting sqref="A18">
    <cfRule type="duplicateValues" dxfId="0" priority="22"/>
  </conditionalFormatting>
  <conditionalFormatting sqref="A19">
    <cfRule type="duplicateValues" dxfId="0" priority="24"/>
  </conditionalFormatting>
  <conditionalFormatting sqref="A20">
    <cfRule type="duplicateValues" dxfId="0" priority="25"/>
  </conditionalFormatting>
  <conditionalFormatting sqref="A21">
    <cfRule type="duplicateValues" dxfId="0" priority="21"/>
  </conditionalFormatting>
  <conditionalFormatting sqref="A22">
    <cfRule type="duplicateValues" dxfId="0" priority="20"/>
  </conditionalFormatting>
  <conditionalFormatting sqref="A41">
    <cfRule type="duplicateValues" dxfId="0" priority="26"/>
  </conditionalFormatting>
  <conditionalFormatting sqref="A54">
    <cfRule type="duplicateValues" dxfId="0" priority="18"/>
  </conditionalFormatting>
  <conditionalFormatting sqref="A55">
    <cfRule type="duplicateValues" dxfId="0" priority="17"/>
  </conditionalFormatting>
  <conditionalFormatting sqref="A75">
    <cfRule type="duplicateValues" dxfId="0" priority="12"/>
  </conditionalFormatting>
  <conditionalFormatting sqref="A76">
    <cfRule type="duplicateValues" dxfId="0" priority="11"/>
  </conditionalFormatting>
  <conditionalFormatting sqref="A77">
    <cfRule type="duplicateValues" dxfId="0" priority="10"/>
  </conditionalFormatting>
  <conditionalFormatting sqref="A78">
    <cfRule type="duplicateValues" dxfId="0" priority="9"/>
  </conditionalFormatting>
  <conditionalFormatting sqref="A79">
    <cfRule type="duplicateValues" dxfId="0" priority="8"/>
  </conditionalFormatting>
  <conditionalFormatting sqref="A80">
    <cfRule type="duplicateValues" dxfId="0" priority="7"/>
  </conditionalFormatting>
  <conditionalFormatting sqref="A81">
    <cfRule type="duplicateValues" dxfId="0" priority="6"/>
  </conditionalFormatting>
  <conditionalFormatting sqref="A82">
    <cfRule type="duplicateValues" dxfId="0" priority="5"/>
  </conditionalFormatting>
  <conditionalFormatting sqref="A83">
    <cfRule type="duplicateValues" dxfId="0" priority="4"/>
  </conditionalFormatting>
  <conditionalFormatting sqref="A84">
    <cfRule type="duplicateValues" dxfId="0" priority="3"/>
  </conditionalFormatting>
  <conditionalFormatting sqref="A85">
    <cfRule type="duplicateValues" dxfId="0" priority="2"/>
  </conditionalFormatting>
  <conditionalFormatting sqref="A86">
    <cfRule type="duplicateValues" dxfId="0" priority="1"/>
  </conditionalFormatting>
  <conditionalFormatting sqref="A3:A4">
    <cfRule type="duplicateValues" dxfId="0" priority="31"/>
  </conditionalFormatting>
  <conditionalFormatting sqref="A56:A58">
    <cfRule type="duplicateValues" dxfId="0" priority="16"/>
  </conditionalFormatting>
  <conditionalFormatting sqref="A70:A74">
    <cfRule type="duplicateValues" dxfId="0" priority="19"/>
  </conditionalFormatting>
  <conditionalFormatting sqref="A87:A89">
    <cfRule type="duplicateValues" dxfId="0" priority="63"/>
  </conditionalFormatting>
  <conditionalFormatting sqref="A5:A6 A8:A12">
    <cfRule type="duplicateValues" dxfId="0" priority="33"/>
  </conditionalFormatting>
  <conditionalFormatting sqref="A23:A24 A42:A53 A59:A69 A26:A40">
    <cfRule type="duplicateValues" dxfId="0" priority="27"/>
  </conditionalFormatting>
  <printOptions horizontalCentered="1"/>
  <pageMargins left="0.393055555555556" right="0.196527777777778" top="0.590277777777778" bottom="0.393055555555556" header="0.393055555555556" footer="0.196527777777778"/>
  <pageSetup paperSize="9" scale="89" fitToHeight="0" orientation="portrait"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F84"/>
  <sheetViews>
    <sheetView topLeftCell="A85" workbookViewId="0">
      <selection activeCell="G25" sqref="G$1:G$1048576"/>
    </sheetView>
  </sheetViews>
  <sheetFormatPr defaultColWidth="9" defaultRowHeight="14.25" outlineLevelCol="5"/>
  <cols>
    <col min="1" max="1" width="42.625" style="401" customWidth="1"/>
    <col min="2" max="4" width="9.625" style="406" customWidth="1"/>
    <col min="5" max="6" width="20.625" style="407" customWidth="1"/>
    <col min="7" max="16384" width="9" style="401"/>
  </cols>
  <sheetData>
    <row r="1" s="229" customFormat="1" ht="30" customHeight="1" spans="1:6">
      <c r="A1" s="408" t="s">
        <v>721</v>
      </c>
      <c r="B1" s="408"/>
      <c r="C1" s="408"/>
      <c r="D1" s="408"/>
      <c r="E1" s="408"/>
      <c r="F1" s="408"/>
    </row>
    <row r="2" s="399" customFormat="1" ht="17" customHeight="1" spans="1:6">
      <c r="A2" s="408"/>
      <c r="B2" s="408"/>
      <c r="C2" s="408"/>
      <c r="D2" s="408"/>
      <c r="E2" s="408"/>
      <c r="F2" s="395" t="s">
        <v>1</v>
      </c>
    </row>
    <row r="3" s="400" customFormat="1" ht="26.25" customHeight="1" spans="1:6">
      <c r="A3" s="409" t="s">
        <v>722</v>
      </c>
      <c r="B3" s="410" t="s">
        <v>8</v>
      </c>
      <c r="C3" s="410" t="s">
        <v>723</v>
      </c>
      <c r="D3" s="410" t="s">
        <v>9</v>
      </c>
      <c r="E3" s="409" t="s">
        <v>724</v>
      </c>
      <c r="F3" s="409" t="s">
        <v>468</v>
      </c>
    </row>
    <row r="4" s="401" customFormat="1" ht="26.25" customHeight="1" spans="1:6">
      <c r="A4" s="411" t="s">
        <v>725</v>
      </c>
      <c r="B4" s="412">
        <f t="shared" ref="B4:B26" si="0">C4+D4</f>
        <v>15824</v>
      </c>
      <c r="C4" s="412">
        <f>SUM(C5,C8,C66)</f>
        <v>5330</v>
      </c>
      <c r="D4" s="412">
        <f>SUM(D5,D8,D66)</f>
        <v>10494</v>
      </c>
      <c r="E4" s="411"/>
      <c r="F4" s="411"/>
    </row>
    <row r="5" s="401" customFormat="1" ht="26.25" customHeight="1" spans="1:6">
      <c r="A5" s="413" t="s">
        <v>726</v>
      </c>
      <c r="B5" s="412">
        <f t="shared" si="0"/>
        <v>4990</v>
      </c>
      <c r="C5" s="412">
        <f>SUM(C6:C7)</f>
        <v>-581</v>
      </c>
      <c r="D5" s="412">
        <f>SUM(D6:D7)</f>
        <v>5571</v>
      </c>
      <c r="E5" s="411"/>
      <c r="F5" s="411"/>
    </row>
    <row r="6" s="401" customFormat="1" ht="26.25" customHeight="1" spans="1:6">
      <c r="A6" s="414" t="s">
        <v>727</v>
      </c>
      <c r="B6" s="412">
        <f t="shared" si="0"/>
        <v>3331</v>
      </c>
      <c r="C6" s="415"/>
      <c r="D6" s="415">
        <v>3331</v>
      </c>
      <c r="E6" s="416" t="s">
        <v>728</v>
      </c>
      <c r="F6" s="416"/>
    </row>
    <row r="7" s="401" customFormat="1" ht="26.25" customHeight="1" spans="1:6">
      <c r="A7" s="414" t="s">
        <v>729</v>
      </c>
      <c r="B7" s="412">
        <f t="shared" si="0"/>
        <v>1659</v>
      </c>
      <c r="C7" s="415">
        <v>-581</v>
      </c>
      <c r="D7" s="415">
        <v>2240</v>
      </c>
      <c r="E7" s="416" t="s">
        <v>730</v>
      </c>
      <c r="F7" s="416" t="s">
        <v>731</v>
      </c>
    </row>
    <row r="8" s="401" customFormat="1" ht="26.25" customHeight="1" spans="1:6">
      <c r="A8" s="413" t="s">
        <v>732</v>
      </c>
      <c r="B8" s="412">
        <f t="shared" si="0"/>
        <v>10834</v>
      </c>
      <c r="C8" s="412">
        <f>SUM(C9,C14,C18,C22,C64)</f>
        <v>5911</v>
      </c>
      <c r="D8" s="412">
        <f>SUM(D9,D14,D18,D22,D64)</f>
        <v>4923</v>
      </c>
      <c r="E8" s="411"/>
      <c r="F8" s="411"/>
    </row>
    <row r="9" s="401" customFormat="1" ht="26.25" customHeight="1" spans="1:6">
      <c r="A9" s="417" t="s">
        <v>733</v>
      </c>
      <c r="B9" s="412">
        <f t="shared" si="0"/>
        <v>270</v>
      </c>
      <c r="C9" s="412">
        <f>SUM(C10:C13)</f>
        <v>1</v>
      </c>
      <c r="D9" s="412">
        <f>SUM(D10:D13)</f>
        <v>269</v>
      </c>
      <c r="E9" s="411"/>
      <c r="F9" s="411"/>
    </row>
    <row r="10" s="401" customFormat="1" ht="26.25" customHeight="1" spans="1:6">
      <c r="A10" s="414" t="s">
        <v>734</v>
      </c>
      <c r="B10" s="412">
        <f t="shared" si="0"/>
        <v>10</v>
      </c>
      <c r="C10" s="415"/>
      <c r="D10" s="415">
        <v>10</v>
      </c>
      <c r="E10" s="416"/>
      <c r="F10" s="416"/>
    </row>
    <row r="11" s="402" customFormat="1" ht="26.25" customHeight="1" spans="1:6">
      <c r="A11" s="414" t="s">
        <v>735</v>
      </c>
      <c r="B11" s="412">
        <f t="shared" si="0"/>
        <v>9</v>
      </c>
      <c r="C11" s="415">
        <v>1</v>
      </c>
      <c r="D11" s="415">
        <v>8</v>
      </c>
      <c r="E11" s="416" t="s">
        <v>736</v>
      </c>
      <c r="F11" s="416"/>
    </row>
    <row r="12" s="401" customFormat="1" ht="26.25" customHeight="1" spans="1:6">
      <c r="A12" s="414" t="s">
        <v>737</v>
      </c>
      <c r="B12" s="412">
        <f t="shared" si="0"/>
        <v>232</v>
      </c>
      <c r="C12" s="415"/>
      <c r="D12" s="415">
        <v>232</v>
      </c>
      <c r="E12" s="416" t="s">
        <v>738</v>
      </c>
      <c r="F12" s="416"/>
    </row>
    <row r="13" s="401" customFormat="1" ht="26.25" customHeight="1" spans="1:6">
      <c r="A13" s="418" t="s">
        <v>739</v>
      </c>
      <c r="B13" s="419">
        <f t="shared" si="0"/>
        <v>19</v>
      </c>
      <c r="C13" s="419"/>
      <c r="D13" s="419">
        <v>19</v>
      </c>
      <c r="E13" s="420" t="s">
        <v>740</v>
      </c>
      <c r="F13" s="420" t="s">
        <v>741</v>
      </c>
    </row>
    <row r="14" s="401" customFormat="1" ht="26.25" customHeight="1" spans="1:6">
      <c r="A14" s="417" t="s">
        <v>742</v>
      </c>
      <c r="B14" s="412">
        <f t="shared" si="0"/>
        <v>488</v>
      </c>
      <c r="C14" s="412">
        <f>SUM(C15:C17)</f>
        <v>101</v>
      </c>
      <c r="D14" s="412">
        <f>SUM(D15:D17)</f>
        <v>387</v>
      </c>
      <c r="E14" s="411"/>
      <c r="F14" s="411"/>
    </row>
    <row r="15" s="401" customFormat="1" ht="26.25" customHeight="1" spans="1:6">
      <c r="A15" s="414" t="s">
        <v>743</v>
      </c>
      <c r="B15" s="412">
        <f t="shared" si="0"/>
        <v>118</v>
      </c>
      <c r="C15" s="415">
        <v>64</v>
      </c>
      <c r="D15" s="415">
        <v>54</v>
      </c>
      <c r="E15" s="416" t="s">
        <v>744</v>
      </c>
      <c r="F15" s="416"/>
    </row>
    <row r="16" s="401" customFormat="1" ht="26.25" customHeight="1" spans="1:6">
      <c r="A16" s="414" t="s">
        <v>745</v>
      </c>
      <c r="B16" s="412">
        <f t="shared" si="0"/>
        <v>37</v>
      </c>
      <c r="C16" s="415">
        <v>37</v>
      </c>
      <c r="D16" s="415"/>
      <c r="E16" s="416" t="s">
        <v>744</v>
      </c>
      <c r="F16" s="416"/>
    </row>
    <row r="17" s="401" customFormat="1" ht="26.25" customHeight="1" spans="1:6">
      <c r="A17" s="414" t="s">
        <v>746</v>
      </c>
      <c r="B17" s="412">
        <f t="shared" si="0"/>
        <v>333</v>
      </c>
      <c r="C17" s="415"/>
      <c r="D17" s="415">
        <v>333</v>
      </c>
      <c r="E17" s="416" t="s">
        <v>747</v>
      </c>
      <c r="F17" s="416" t="s">
        <v>748</v>
      </c>
    </row>
    <row r="18" s="401" customFormat="1" ht="26.25" customHeight="1" spans="1:6">
      <c r="A18" s="417" t="s">
        <v>749</v>
      </c>
      <c r="B18" s="412">
        <f t="shared" si="0"/>
        <v>0</v>
      </c>
      <c r="C18" s="412">
        <f>SUM(C19:C21)</f>
        <v>0</v>
      </c>
      <c r="D18" s="412">
        <f>SUM(D19:D21)</f>
        <v>0</v>
      </c>
      <c r="E18" s="411"/>
      <c r="F18" s="411"/>
    </row>
    <row r="19" s="401" customFormat="1" ht="26.25" customHeight="1" spans="1:6">
      <c r="A19" s="414" t="s">
        <v>750</v>
      </c>
      <c r="B19" s="412">
        <f t="shared" si="0"/>
        <v>0</v>
      </c>
      <c r="C19" s="415"/>
      <c r="D19" s="415"/>
      <c r="E19" s="416"/>
      <c r="F19" s="416" t="s">
        <v>751</v>
      </c>
    </row>
    <row r="20" s="401" customFormat="1" ht="26.25" customHeight="1" spans="1:6">
      <c r="A20" s="414" t="s">
        <v>752</v>
      </c>
      <c r="B20" s="412">
        <f t="shared" si="0"/>
        <v>0</v>
      </c>
      <c r="C20" s="415"/>
      <c r="D20" s="415"/>
      <c r="E20" s="416"/>
      <c r="F20" s="416"/>
    </row>
    <row r="21" s="401" customFormat="1" ht="26.25" customHeight="1" spans="1:6">
      <c r="A21" s="414" t="s">
        <v>753</v>
      </c>
      <c r="B21" s="412">
        <f t="shared" si="0"/>
        <v>0</v>
      </c>
      <c r="C21" s="415"/>
      <c r="D21" s="415"/>
      <c r="E21" s="416"/>
      <c r="F21" s="416" t="s">
        <v>754</v>
      </c>
    </row>
    <row r="22" s="401" customFormat="1" ht="26.25" customHeight="1" spans="1:6">
      <c r="A22" s="417" t="s">
        <v>755</v>
      </c>
      <c r="B22" s="412">
        <f t="shared" si="0"/>
        <v>10076</v>
      </c>
      <c r="C22" s="412">
        <f>SUM(C30,C23,C38,C42)</f>
        <v>5809</v>
      </c>
      <c r="D22" s="412">
        <f>SUM(D30,D23,D38,D42)</f>
        <v>4267</v>
      </c>
      <c r="E22" s="411"/>
      <c r="F22" s="411"/>
    </row>
    <row r="23" s="401" customFormat="1" ht="26.25" customHeight="1" spans="1:6">
      <c r="A23" s="421" t="s">
        <v>756</v>
      </c>
      <c r="B23" s="412">
        <f t="shared" si="0"/>
        <v>4878</v>
      </c>
      <c r="C23" s="412">
        <f>SUM(C24:C29)</f>
        <v>1861</v>
      </c>
      <c r="D23" s="412">
        <f>SUM(D24:D29)</f>
        <v>3017</v>
      </c>
      <c r="E23" s="416"/>
      <c r="F23" s="416"/>
    </row>
    <row r="24" s="401" customFormat="1" ht="26.25" customHeight="1" spans="1:6">
      <c r="A24" s="414" t="s">
        <v>757</v>
      </c>
      <c r="B24" s="412">
        <f t="shared" si="0"/>
        <v>1262</v>
      </c>
      <c r="C24" s="415">
        <v>808</v>
      </c>
      <c r="D24" s="415">
        <f>454</f>
        <v>454</v>
      </c>
      <c r="E24" s="416"/>
      <c r="F24" s="416"/>
    </row>
    <row r="25" s="401" customFormat="1" ht="26.25" customHeight="1" spans="1:6">
      <c r="A25" s="414" t="s">
        <v>758</v>
      </c>
      <c r="B25" s="412">
        <f t="shared" si="0"/>
        <v>1158</v>
      </c>
      <c r="C25" s="415">
        <v>464</v>
      </c>
      <c r="D25" s="415">
        <v>694</v>
      </c>
      <c r="E25" s="416" t="s">
        <v>759</v>
      </c>
      <c r="F25" s="416"/>
    </row>
    <row r="26" s="401" customFormat="1" ht="26.25" customHeight="1" spans="1:6">
      <c r="A26" s="414" t="s">
        <v>760</v>
      </c>
      <c r="B26" s="412">
        <f t="shared" si="0"/>
        <v>895</v>
      </c>
      <c r="C26" s="415">
        <v>319</v>
      </c>
      <c r="D26" s="415">
        <v>576</v>
      </c>
      <c r="E26" s="416" t="s">
        <v>761</v>
      </c>
      <c r="F26" s="416"/>
    </row>
    <row r="27" s="401" customFormat="1" ht="26.25" customHeight="1" spans="1:6">
      <c r="A27" s="414" t="s">
        <v>762</v>
      </c>
      <c r="B27" s="412"/>
      <c r="C27" s="415"/>
      <c r="D27" s="415"/>
      <c r="E27" s="416" t="s">
        <v>763</v>
      </c>
      <c r="F27" s="416" t="s">
        <v>764</v>
      </c>
    </row>
    <row r="28" s="403" customFormat="1" ht="26.25" customHeight="1" spans="1:6">
      <c r="A28" s="414" t="s">
        <v>765</v>
      </c>
      <c r="B28" s="412">
        <f t="shared" ref="B28:B66" si="1">C28+D28</f>
        <v>823</v>
      </c>
      <c r="C28" s="415">
        <v>270</v>
      </c>
      <c r="D28" s="415">
        <v>553</v>
      </c>
      <c r="E28" s="416" t="s">
        <v>766</v>
      </c>
      <c r="F28" s="416" t="s">
        <v>767</v>
      </c>
    </row>
    <row r="29" s="403" customFormat="1" ht="26.25" customHeight="1" spans="1:6">
      <c r="A29" s="418" t="s">
        <v>768</v>
      </c>
      <c r="B29" s="419">
        <f t="shared" si="1"/>
        <v>740</v>
      </c>
      <c r="C29" s="419"/>
      <c r="D29" s="419">
        <v>740</v>
      </c>
      <c r="E29" s="420" t="s">
        <v>769</v>
      </c>
      <c r="F29" s="420" t="s">
        <v>770</v>
      </c>
    </row>
    <row r="30" s="401" customFormat="1" ht="26.25" customHeight="1" spans="1:6">
      <c r="A30" s="421" t="s">
        <v>771</v>
      </c>
      <c r="B30" s="412">
        <f t="shared" si="1"/>
        <v>-143</v>
      </c>
      <c r="C30" s="412">
        <f>SUM(C31:C37)</f>
        <v>-11</v>
      </c>
      <c r="D30" s="412">
        <f>SUM(D31:D37)</f>
        <v>-132</v>
      </c>
      <c r="E30" s="411"/>
      <c r="F30" s="411"/>
    </row>
    <row r="31" s="401" customFormat="1" ht="26.25" customHeight="1" spans="1:6">
      <c r="A31" s="414" t="s">
        <v>772</v>
      </c>
      <c r="B31" s="412">
        <f t="shared" si="1"/>
        <v>37</v>
      </c>
      <c r="C31" s="415">
        <v>12</v>
      </c>
      <c r="D31" s="415">
        <f>25</f>
        <v>25</v>
      </c>
      <c r="E31" s="416" t="s">
        <v>773</v>
      </c>
      <c r="F31" s="416"/>
    </row>
    <row r="32" s="401" customFormat="1" ht="26.25" customHeight="1" spans="1:6">
      <c r="A32" s="414" t="s">
        <v>774</v>
      </c>
      <c r="B32" s="412">
        <f t="shared" si="1"/>
        <v>-215</v>
      </c>
      <c r="C32" s="415">
        <v>-26</v>
      </c>
      <c r="D32" s="415">
        <v>-189</v>
      </c>
      <c r="E32" s="416" t="s">
        <v>773</v>
      </c>
      <c r="F32" s="416"/>
    </row>
    <row r="33" s="401" customFormat="1" ht="26.25" customHeight="1" spans="1:6">
      <c r="A33" s="414" t="s">
        <v>775</v>
      </c>
      <c r="B33" s="412">
        <f t="shared" si="1"/>
        <v>9</v>
      </c>
      <c r="C33" s="415">
        <v>3</v>
      </c>
      <c r="D33" s="415">
        <v>6</v>
      </c>
      <c r="E33" s="416" t="s">
        <v>773</v>
      </c>
      <c r="F33" s="416"/>
    </row>
    <row r="34" s="401" customFormat="1" ht="26.25" customHeight="1" spans="1:6">
      <c r="A34" s="414" t="s">
        <v>776</v>
      </c>
      <c r="B34" s="412">
        <f t="shared" si="1"/>
        <v>16</v>
      </c>
      <c r="C34" s="415"/>
      <c r="D34" s="415">
        <v>16</v>
      </c>
      <c r="E34" s="416" t="s">
        <v>777</v>
      </c>
      <c r="F34" s="416"/>
    </row>
    <row r="35" s="401" customFormat="1" ht="26.25" customHeight="1" spans="1:6">
      <c r="A35" s="414" t="s">
        <v>778</v>
      </c>
      <c r="B35" s="412">
        <f t="shared" si="1"/>
        <v>10</v>
      </c>
      <c r="C35" s="415"/>
      <c r="D35" s="415">
        <v>10</v>
      </c>
      <c r="E35" s="416" t="s">
        <v>773</v>
      </c>
      <c r="F35" s="416"/>
    </row>
    <row r="36" s="401" customFormat="1" ht="26.25" customHeight="1" spans="1:6">
      <c r="A36" s="414" t="s">
        <v>779</v>
      </c>
      <c r="B36" s="412">
        <f t="shared" si="1"/>
        <v>0</v>
      </c>
      <c r="C36" s="415"/>
      <c r="D36" s="415"/>
      <c r="E36" s="416" t="s">
        <v>780</v>
      </c>
      <c r="F36" s="416" t="s">
        <v>781</v>
      </c>
    </row>
    <row r="37" s="401" customFormat="1" ht="26.25" customHeight="1" spans="1:6">
      <c r="A37" s="418" t="s">
        <v>782</v>
      </c>
      <c r="B37" s="419">
        <f t="shared" si="1"/>
        <v>0</v>
      </c>
      <c r="C37" s="419"/>
      <c r="D37" s="419"/>
      <c r="E37" s="422" t="s">
        <v>773</v>
      </c>
      <c r="F37" s="420"/>
    </row>
    <row r="38" s="401" customFormat="1" ht="26.25" customHeight="1" spans="1:6">
      <c r="A38" s="421" t="s">
        <v>783</v>
      </c>
      <c r="B38" s="412">
        <f t="shared" si="1"/>
        <v>406</v>
      </c>
      <c r="C38" s="412">
        <f>SUM(C39:C41)</f>
        <v>406</v>
      </c>
      <c r="D38" s="412">
        <f>SUM(D39:D41)</f>
        <v>0</v>
      </c>
      <c r="E38" s="411"/>
      <c r="F38" s="411"/>
    </row>
    <row r="39" s="401" customFormat="1" ht="26.25" customHeight="1" spans="1:6">
      <c r="A39" s="414" t="s">
        <v>784</v>
      </c>
      <c r="B39" s="412">
        <f t="shared" si="1"/>
        <v>18</v>
      </c>
      <c r="C39" s="415">
        <v>18</v>
      </c>
      <c r="D39" s="415"/>
      <c r="E39" s="416" t="s">
        <v>785</v>
      </c>
      <c r="F39" s="416"/>
    </row>
    <row r="40" s="404" customFormat="1" ht="26.25" customHeight="1" spans="1:6">
      <c r="A40" s="414" t="s">
        <v>786</v>
      </c>
      <c r="B40" s="412">
        <f t="shared" si="1"/>
        <v>162</v>
      </c>
      <c r="C40" s="415">
        <v>162</v>
      </c>
      <c r="D40" s="415"/>
      <c r="E40" s="416" t="s">
        <v>787</v>
      </c>
      <c r="F40" s="416"/>
    </row>
    <row r="41" s="401" customFormat="1" ht="26.25" customHeight="1" spans="1:6">
      <c r="A41" s="414" t="s">
        <v>788</v>
      </c>
      <c r="B41" s="412">
        <f t="shared" si="1"/>
        <v>226</v>
      </c>
      <c r="C41" s="415">
        <v>226</v>
      </c>
      <c r="D41" s="415"/>
      <c r="E41" s="416" t="s">
        <v>789</v>
      </c>
      <c r="F41" s="416" t="s">
        <v>790</v>
      </c>
    </row>
    <row r="42" s="401" customFormat="1" ht="26.25" customHeight="1" spans="1:6">
      <c r="A42" s="421" t="s">
        <v>791</v>
      </c>
      <c r="B42" s="412">
        <f t="shared" si="1"/>
        <v>4935</v>
      </c>
      <c r="C42" s="412">
        <f>SUM(C43:C63)</f>
        <v>3553</v>
      </c>
      <c r="D42" s="412">
        <f>SUM(D43:D63)</f>
        <v>1382</v>
      </c>
      <c r="E42" s="411"/>
      <c r="F42" s="411"/>
    </row>
    <row r="43" s="405" customFormat="1" ht="26.25" customHeight="1" spans="1:6">
      <c r="A43" s="414" t="s">
        <v>792</v>
      </c>
      <c r="B43" s="423">
        <f t="shared" si="1"/>
        <v>11</v>
      </c>
      <c r="C43" s="424"/>
      <c r="D43" s="424">
        <v>11</v>
      </c>
      <c r="E43" s="425" t="s">
        <v>793</v>
      </c>
      <c r="F43" s="425"/>
    </row>
    <row r="44" s="405" customFormat="1" ht="26.25" customHeight="1" spans="1:6">
      <c r="A44" s="418" t="s">
        <v>794</v>
      </c>
      <c r="B44" s="426">
        <f t="shared" si="1"/>
        <v>0</v>
      </c>
      <c r="C44" s="426"/>
      <c r="D44" s="426"/>
      <c r="E44" s="427" t="s">
        <v>795</v>
      </c>
      <c r="F44" s="427" t="s">
        <v>796</v>
      </c>
    </row>
    <row r="45" s="405" customFormat="1" ht="26.25" customHeight="1" spans="1:6">
      <c r="A45" s="414" t="s">
        <v>797</v>
      </c>
      <c r="B45" s="423">
        <f t="shared" si="1"/>
        <v>1850</v>
      </c>
      <c r="C45" s="424">
        <v>1850</v>
      </c>
      <c r="D45" s="424"/>
      <c r="E45" s="425" t="s">
        <v>793</v>
      </c>
      <c r="F45" s="425"/>
    </row>
    <row r="46" s="401" customFormat="1" ht="26.25" customHeight="1" spans="1:6">
      <c r="A46" s="414" t="s">
        <v>798</v>
      </c>
      <c r="B46" s="412">
        <f t="shared" si="1"/>
        <v>88</v>
      </c>
      <c r="C46" s="415">
        <v>76</v>
      </c>
      <c r="D46" s="415">
        <v>12</v>
      </c>
      <c r="E46" s="416" t="s">
        <v>793</v>
      </c>
      <c r="F46" s="416"/>
    </row>
    <row r="47" s="401" customFormat="1" ht="26.25" customHeight="1" spans="1:6">
      <c r="A47" s="414" t="s">
        <v>799</v>
      </c>
      <c r="B47" s="412">
        <f t="shared" si="1"/>
        <v>5</v>
      </c>
      <c r="C47" s="415">
        <v>5</v>
      </c>
      <c r="D47" s="415"/>
      <c r="E47" s="416" t="s">
        <v>800</v>
      </c>
      <c r="F47" s="416" t="s">
        <v>801</v>
      </c>
    </row>
    <row r="48" s="401" customFormat="1" ht="26.25" customHeight="1" spans="1:6">
      <c r="A48" s="414" t="s">
        <v>802</v>
      </c>
      <c r="B48" s="412">
        <f t="shared" si="1"/>
        <v>27</v>
      </c>
      <c r="C48" s="415"/>
      <c r="D48" s="415">
        <v>27</v>
      </c>
      <c r="E48" s="416" t="s">
        <v>803</v>
      </c>
      <c r="F48" s="416"/>
    </row>
    <row r="49" s="403" customFormat="1" ht="26.25" customHeight="1" spans="1:6">
      <c r="A49" s="414" t="s">
        <v>804</v>
      </c>
      <c r="B49" s="412">
        <f t="shared" si="1"/>
        <v>457</v>
      </c>
      <c r="C49" s="415"/>
      <c r="D49" s="415">
        <v>457</v>
      </c>
      <c r="E49" s="416" t="s">
        <v>805</v>
      </c>
      <c r="F49" s="416" t="s">
        <v>806</v>
      </c>
    </row>
    <row r="50" s="404" customFormat="1" ht="26.25" customHeight="1" spans="1:6">
      <c r="A50" s="414" t="s">
        <v>807</v>
      </c>
      <c r="B50" s="412">
        <f t="shared" si="1"/>
        <v>16</v>
      </c>
      <c r="C50" s="415">
        <v>16</v>
      </c>
      <c r="D50" s="415"/>
      <c r="E50" s="416" t="s">
        <v>808</v>
      </c>
      <c r="F50" s="416" t="s">
        <v>809</v>
      </c>
    </row>
    <row r="51" s="405" customFormat="1" ht="26.25" customHeight="1" spans="1:6">
      <c r="A51" s="414" t="s">
        <v>810</v>
      </c>
      <c r="B51" s="423">
        <f t="shared" si="1"/>
        <v>6</v>
      </c>
      <c r="C51" s="424">
        <v>4</v>
      </c>
      <c r="D51" s="424">
        <v>2</v>
      </c>
      <c r="E51" s="425" t="s">
        <v>793</v>
      </c>
      <c r="F51" s="425"/>
    </row>
    <row r="52" s="401" customFormat="1" ht="26.25" customHeight="1" spans="1:6">
      <c r="A52" s="414" t="s">
        <v>811</v>
      </c>
      <c r="B52" s="412">
        <f t="shared" si="1"/>
        <v>30</v>
      </c>
      <c r="C52" s="415">
        <v>30</v>
      </c>
      <c r="D52" s="415"/>
      <c r="E52" s="416" t="s">
        <v>773</v>
      </c>
      <c r="F52" s="416"/>
    </row>
    <row r="53" s="401" customFormat="1" ht="26.25" customHeight="1" spans="1:6">
      <c r="A53" s="414" t="s">
        <v>812</v>
      </c>
      <c r="B53" s="412">
        <f t="shared" si="1"/>
        <v>200</v>
      </c>
      <c r="C53" s="415">
        <v>87</v>
      </c>
      <c r="D53" s="415">
        <v>113</v>
      </c>
      <c r="E53" s="416" t="s">
        <v>773</v>
      </c>
      <c r="F53" s="416"/>
    </row>
    <row r="54" s="401" customFormat="1" ht="26.25" customHeight="1" spans="1:6">
      <c r="A54" s="414" t="s">
        <v>813</v>
      </c>
      <c r="B54" s="412">
        <f t="shared" si="1"/>
        <v>150</v>
      </c>
      <c r="C54" s="415">
        <v>150</v>
      </c>
      <c r="D54" s="415"/>
      <c r="E54" s="416" t="s">
        <v>773</v>
      </c>
      <c r="F54" s="416"/>
    </row>
    <row r="55" s="401" customFormat="1" ht="26.25" customHeight="1" spans="1:6">
      <c r="A55" s="414" t="s">
        <v>814</v>
      </c>
      <c r="B55" s="412">
        <f t="shared" si="1"/>
        <v>150</v>
      </c>
      <c r="C55" s="415">
        <v>150</v>
      </c>
      <c r="D55" s="415"/>
      <c r="E55" s="416" t="s">
        <v>773</v>
      </c>
      <c r="F55" s="416"/>
    </row>
    <row r="56" s="401" customFormat="1" ht="26.25" customHeight="1" spans="1:6">
      <c r="A56" s="414" t="s">
        <v>815</v>
      </c>
      <c r="B56" s="412">
        <f t="shared" si="1"/>
        <v>84</v>
      </c>
      <c r="C56" s="415">
        <v>30</v>
      </c>
      <c r="D56" s="415">
        <v>54</v>
      </c>
      <c r="E56" s="416" t="s">
        <v>773</v>
      </c>
      <c r="F56" s="416"/>
    </row>
    <row r="57" s="401" customFormat="1" ht="26.25" customHeight="1" spans="1:6">
      <c r="A57" s="428" t="s">
        <v>816</v>
      </c>
      <c r="B57" s="429">
        <f t="shared" si="1"/>
        <v>731</v>
      </c>
      <c r="C57" s="430">
        <v>731</v>
      </c>
      <c r="D57" s="430"/>
      <c r="E57" s="416" t="s">
        <v>773</v>
      </c>
      <c r="F57" s="411" t="s">
        <v>817</v>
      </c>
    </row>
    <row r="58" s="401" customFormat="1" ht="26.25" customHeight="1" spans="1:6">
      <c r="A58" s="414" t="s">
        <v>818</v>
      </c>
      <c r="B58" s="412">
        <f t="shared" si="1"/>
        <v>102</v>
      </c>
      <c r="C58" s="415">
        <f>21+16</f>
        <v>37</v>
      </c>
      <c r="D58" s="415">
        <v>65</v>
      </c>
      <c r="E58" s="416" t="s">
        <v>773</v>
      </c>
      <c r="F58" s="416"/>
    </row>
    <row r="59" s="401" customFormat="1" ht="26.25" customHeight="1" spans="1:6">
      <c r="A59" s="414" t="s">
        <v>819</v>
      </c>
      <c r="B59" s="412">
        <f t="shared" si="1"/>
        <v>0</v>
      </c>
      <c r="C59" s="415"/>
      <c r="D59" s="415"/>
      <c r="E59" s="416"/>
      <c r="F59" s="416"/>
    </row>
    <row r="60" s="401" customFormat="1" ht="26.25" customHeight="1" spans="1:6">
      <c r="A60" s="414" t="s">
        <v>820</v>
      </c>
      <c r="B60" s="412">
        <f t="shared" si="1"/>
        <v>0</v>
      </c>
      <c r="C60" s="415"/>
      <c r="D60" s="415"/>
      <c r="E60" s="416"/>
      <c r="F60" s="416"/>
    </row>
    <row r="61" s="401" customFormat="1" ht="26.25" customHeight="1" spans="1:6">
      <c r="A61" s="414" t="s">
        <v>821</v>
      </c>
      <c r="B61" s="412">
        <f t="shared" si="1"/>
        <v>413</v>
      </c>
      <c r="C61" s="415"/>
      <c r="D61" s="415">
        <v>413</v>
      </c>
      <c r="E61" s="411" t="s">
        <v>773</v>
      </c>
      <c r="F61" s="416" t="s">
        <v>822</v>
      </c>
    </row>
    <row r="62" s="403" customFormat="1" ht="26.25" customHeight="1" spans="1:6">
      <c r="A62" s="414" t="s">
        <v>823</v>
      </c>
      <c r="B62" s="412">
        <f t="shared" si="1"/>
        <v>586</v>
      </c>
      <c r="C62" s="415">
        <f>295+63</f>
        <v>358</v>
      </c>
      <c r="D62" s="415">
        <f>187+41</f>
        <v>228</v>
      </c>
      <c r="E62" s="416" t="s">
        <v>773</v>
      </c>
      <c r="F62" s="416"/>
    </row>
    <row r="63" s="401" customFormat="1" ht="26.25" customHeight="1" spans="1:6">
      <c r="A63" s="428" t="s">
        <v>824</v>
      </c>
      <c r="B63" s="429">
        <f t="shared" si="1"/>
        <v>29</v>
      </c>
      <c r="C63" s="430">
        <v>29</v>
      </c>
      <c r="D63" s="430"/>
      <c r="E63" s="411"/>
      <c r="F63" s="411" t="s">
        <v>825</v>
      </c>
    </row>
    <row r="64" s="401" customFormat="1" ht="26.25" customHeight="1" spans="1:6">
      <c r="A64" s="431" t="s">
        <v>826</v>
      </c>
      <c r="B64" s="412">
        <f t="shared" si="1"/>
        <v>0</v>
      </c>
      <c r="C64" s="412">
        <f>SUM(C65:C65)</f>
        <v>0</v>
      </c>
      <c r="D64" s="412">
        <f>SUM(D65:D65)</f>
        <v>0</v>
      </c>
      <c r="E64" s="416"/>
      <c r="F64" s="416"/>
    </row>
    <row r="65" s="403" customFormat="1" ht="26.25" customHeight="1" spans="1:6">
      <c r="A65" s="414" t="s">
        <v>827</v>
      </c>
      <c r="B65" s="412">
        <f t="shared" si="1"/>
        <v>0</v>
      </c>
      <c r="C65" s="412"/>
      <c r="D65" s="412"/>
      <c r="E65" s="416" t="s">
        <v>828</v>
      </c>
      <c r="F65" s="416" t="s">
        <v>829</v>
      </c>
    </row>
    <row r="66" s="401" customFormat="1" ht="26.25" customHeight="1" spans="1:6">
      <c r="A66" s="413" t="s">
        <v>830</v>
      </c>
      <c r="B66" s="412">
        <f t="shared" si="1"/>
        <v>0</v>
      </c>
      <c r="C66" s="412"/>
      <c r="D66" s="412"/>
      <c r="E66" s="411"/>
      <c r="F66" s="411"/>
    </row>
    <row r="67" s="401" customFormat="1" ht="26.25" customHeight="1" spans="1:6">
      <c r="A67" s="414"/>
      <c r="B67" s="412"/>
      <c r="C67" s="412"/>
      <c r="D67" s="412"/>
      <c r="E67" s="416"/>
      <c r="F67" s="416"/>
    </row>
    <row r="68" s="401" customFormat="1" ht="26.25" customHeight="1" spans="1:6">
      <c r="A68" s="411" t="s">
        <v>831</v>
      </c>
      <c r="B68" s="412">
        <f t="shared" ref="B68:B84" si="2">C68+D68</f>
        <v>3965</v>
      </c>
      <c r="C68" s="412">
        <f>SUM(C69,C74,C75)</f>
        <v>1918</v>
      </c>
      <c r="D68" s="412">
        <f>SUM(D69,D74,D75)</f>
        <v>2047</v>
      </c>
      <c r="E68" s="411"/>
      <c r="F68" s="411"/>
    </row>
    <row r="69" s="401" customFormat="1" ht="26.25" customHeight="1" spans="1:6">
      <c r="A69" s="413" t="s">
        <v>832</v>
      </c>
      <c r="B69" s="412">
        <f t="shared" si="2"/>
        <v>225</v>
      </c>
      <c r="C69" s="412">
        <f>SUM(C70:C73)</f>
        <v>423</v>
      </c>
      <c r="D69" s="412">
        <f>SUM(D70:D73)</f>
        <v>-198</v>
      </c>
      <c r="E69" s="411"/>
      <c r="F69" s="411"/>
    </row>
    <row r="70" s="401" customFormat="1" ht="26.25" customHeight="1" spans="1:6">
      <c r="A70" s="431" t="s">
        <v>833</v>
      </c>
      <c r="B70" s="412">
        <f t="shared" si="2"/>
        <v>225</v>
      </c>
      <c r="C70" s="415">
        <v>423</v>
      </c>
      <c r="D70" s="415">
        <v>-198</v>
      </c>
      <c r="E70" s="416"/>
      <c r="F70" s="416"/>
    </row>
    <row r="71" s="401" customFormat="1" ht="26.25" customHeight="1" spans="1:6">
      <c r="A71" s="431" t="s">
        <v>834</v>
      </c>
      <c r="B71" s="412">
        <f t="shared" si="2"/>
        <v>0</v>
      </c>
      <c r="C71" s="415"/>
      <c r="D71" s="415"/>
      <c r="E71" s="416"/>
      <c r="F71" s="416"/>
    </row>
    <row r="72" s="401" customFormat="1" ht="26.25" customHeight="1" spans="1:6">
      <c r="A72" s="431" t="s">
        <v>835</v>
      </c>
      <c r="B72" s="412">
        <f t="shared" si="2"/>
        <v>0</v>
      </c>
      <c r="C72" s="415"/>
      <c r="D72" s="415"/>
      <c r="E72" s="416"/>
      <c r="F72" s="416"/>
    </row>
    <row r="73" s="401" customFormat="1" ht="26.25" customHeight="1" spans="1:6">
      <c r="A73" s="431" t="s">
        <v>836</v>
      </c>
      <c r="B73" s="412">
        <f t="shared" si="2"/>
        <v>0</v>
      </c>
      <c r="C73" s="415"/>
      <c r="D73" s="415"/>
      <c r="E73" s="416"/>
      <c r="F73" s="416"/>
    </row>
    <row r="74" s="401" customFormat="1" ht="26.25" customHeight="1" spans="1:6">
      <c r="A74" s="432" t="s">
        <v>837</v>
      </c>
      <c r="B74" s="412">
        <f t="shared" si="2"/>
        <v>0</v>
      </c>
      <c r="C74" s="412"/>
      <c r="D74" s="412"/>
      <c r="E74" s="416" t="s">
        <v>838</v>
      </c>
      <c r="F74" s="416"/>
    </row>
    <row r="75" s="401" customFormat="1" ht="26.25" customHeight="1" spans="1:6">
      <c r="A75" s="413" t="s">
        <v>839</v>
      </c>
      <c r="B75" s="412">
        <f t="shared" si="2"/>
        <v>3740</v>
      </c>
      <c r="C75" s="412">
        <f>SUM(C76,C82,C83,C84:C84)</f>
        <v>1495</v>
      </c>
      <c r="D75" s="412">
        <f>SUM(D76,D82,D83,D84:D84)</f>
        <v>2245</v>
      </c>
      <c r="E75" s="411"/>
      <c r="F75" s="411"/>
    </row>
    <row r="76" s="401" customFormat="1" ht="26.25" customHeight="1" spans="1:6">
      <c r="A76" s="417" t="s">
        <v>840</v>
      </c>
      <c r="B76" s="412">
        <f t="shared" si="2"/>
        <v>739</v>
      </c>
      <c r="C76" s="412">
        <f>SUM(C77:C81)</f>
        <v>57</v>
      </c>
      <c r="D76" s="412">
        <f>SUM(D77:D81)</f>
        <v>682</v>
      </c>
      <c r="E76" s="411"/>
      <c r="F76" s="411"/>
    </row>
    <row r="77" s="401" customFormat="1" ht="26.25" customHeight="1" spans="1:6">
      <c r="A77" s="431" t="s">
        <v>841</v>
      </c>
      <c r="B77" s="412">
        <f t="shared" si="2"/>
        <v>6</v>
      </c>
      <c r="C77" s="415"/>
      <c r="D77" s="415">
        <v>6</v>
      </c>
      <c r="E77" s="416"/>
      <c r="F77" s="416"/>
    </row>
    <row r="78" s="401" customFormat="1" ht="26.25" customHeight="1" spans="1:6">
      <c r="A78" s="431" t="s">
        <v>842</v>
      </c>
      <c r="B78" s="412">
        <f t="shared" si="2"/>
        <v>25</v>
      </c>
      <c r="C78" s="415">
        <v>25</v>
      </c>
      <c r="D78" s="415"/>
      <c r="E78" s="416"/>
      <c r="F78" s="416"/>
    </row>
    <row r="79" s="401" customFormat="1" ht="26.25" customHeight="1" spans="1:6">
      <c r="A79" s="431" t="s">
        <v>843</v>
      </c>
      <c r="B79" s="412">
        <f t="shared" si="2"/>
        <v>32</v>
      </c>
      <c r="C79" s="415">
        <v>32</v>
      </c>
      <c r="D79" s="415"/>
      <c r="E79" s="416"/>
      <c r="F79" s="416"/>
    </row>
    <row r="80" s="401" customFormat="1" ht="26.25" customHeight="1" spans="1:6">
      <c r="A80" s="431" t="s">
        <v>844</v>
      </c>
      <c r="B80" s="412">
        <f t="shared" si="2"/>
        <v>88</v>
      </c>
      <c r="C80" s="415"/>
      <c r="D80" s="415">
        <v>88</v>
      </c>
      <c r="E80" s="416"/>
      <c r="F80" s="416"/>
    </row>
    <row r="81" s="401" customFormat="1" ht="26.25" customHeight="1" spans="1:6">
      <c r="A81" s="431" t="s">
        <v>845</v>
      </c>
      <c r="B81" s="412">
        <f t="shared" si="2"/>
        <v>588</v>
      </c>
      <c r="C81" s="415"/>
      <c r="D81" s="415">
        <v>588</v>
      </c>
      <c r="E81" s="416"/>
      <c r="F81" s="416"/>
    </row>
    <row r="82" s="401" customFormat="1" ht="26.25" customHeight="1" spans="1:6">
      <c r="A82" s="431" t="s">
        <v>846</v>
      </c>
      <c r="B82" s="412">
        <f t="shared" si="2"/>
        <v>225</v>
      </c>
      <c r="C82" s="412">
        <v>84</v>
      </c>
      <c r="D82" s="412">
        <v>141</v>
      </c>
      <c r="E82" s="416" t="s">
        <v>847</v>
      </c>
      <c r="F82" s="416"/>
    </row>
    <row r="83" s="401" customFormat="1" ht="26.25" customHeight="1" spans="1:6">
      <c r="A83" s="431" t="s">
        <v>848</v>
      </c>
      <c r="B83" s="412">
        <f t="shared" si="2"/>
        <v>1325</v>
      </c>
      <c r="C83" s="412">
        <v>960</v>
      </c>
      <c r="D83" s="412">
        <v>365</v>
      </c>
      <c r="E83" s="416" t="s">
        <v>849</v>
      </c>
      <c r="F83" s="416"/>
    </row>
    <row r="84" s="401" customFormat="1" ht="26.25" customHeight="1" spans="1:6">
      <c r="A84" s="431" t="s">
        <v>850</v>
      </c>
      <c r="B84" s="412">
        <f t="shared" si="2"/>
        <v>1451</v>
      </c>
      <c r="C84" s="412">
        <v>394</v>
      </c>
      <c r="D84" s="412">
        <v>1057</v>
      </c>
      <c r="E84" s="416" t="s">
        <v>851</v>
      </c>
      <c r="F84" s="416"/>
    </row>
  </sheetData>
  <mergeCells count="1">
    <mergeCell ref="A1:F1"/>
  </mergeCells>
  <printOptions horizontalCentered="1"/>
  <pageMargins left="0.393055555555556" right="0.196527777777778" top="0.590277777777778" bottom="0.393055555555556" header="0.393055555555556" footer="0.393055555555556"/>
  <pageSetup paperSize="9" scale="88" fitToHeight="0" orientation="portrait" horizontalDpi="600"/>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M31"/>
  <sheetViews>
    <sheetView showZeros="0" tabSelected="1" zoomScale="90" zoomScaleNormal="90" topLeftCell="A28" workbookViewId="0">
      <selection activeCell="E42" sqref="E42"/>
    </sheetView>
  </sheetViews>
  <sheetFormatPr defaultColWidth="8" defaultRowHeight="12.75" customHeight="1"/>
  <cols>
    <col min="1" max="1" width="30.625" style="1" customWidth="1"/>
    <col min="2" max="13" width="9.625" style="1" customWidth="1"/>
    <col min="14" max="16384" width="8" style="6"/>
  </cols>
  <sheetData>
    <row r="1" s="379" customFormat="1" ht="32" customHeight="1" spans="1:13">
      <c r="A1" s="11" t="s">
        <v>852</v>
      </c>
      <c r="B1" s="11"/>
      <c r="C1" s="11"/>
      <c r="D1" s="11"/>
      <c r="E1" s="11"/>
      <c r="F1" s="11"/>
      <c r="G1" s="11"/>
      <c r="H1" s="11"/>
      <c r="I1" s="11"/>
      <c r="J1" s="11"/>
      <c r="K1" s="11"/>
      <c r="L1" s="11"/>
      <c r="M1" s="11"/>
    </row>
    <row r="2" s="1" customFormat="1" ht="15" spans="1:13">
      <c r="A2" s="380"/>
      <c r="B2" s="380"/>
      <c r="C2" s="380"/>
      <c r="D2" s="380"/>
      <c r="E2" s="380"/>
      <c r="F2" s="380"/>
      <c r="G2" s="380"/>
      <c r="H2" s="380"/>
      <c r="I2" s="380"/>
      <c r="J2" s="380"/>
      <c r="K2" s="380"/>
      <c r="L2" s="380"/>
      <c r="M2" s="395" t="s">
        <v>1</v>
      </c>
    </row>
    <row r="3" s="4" customFormat="1" ht="21" customHeight="1" spans="1:13">
      <c r="A3" s="161" t="s">
        <v>40</v>
      </c>
      <c r="B3" s="381" t="s">
        <v>41</v>
      </c>
      <c r="C3" s="382"/>
      <c r="D3" s="382"/>
      <c r="E3" s="383" t="s">
        <v>853</v>
      </c>
      <c r="F3" s="384"/>
      <c r="G3" s="384"/>
      <c r="H3" s="384"/>
      <c r="I3" s="384"/>
      <c r="J3" s="384"/>
      <c r="K3" s="161" t="s">
        <v>5</v>
      </c>
      <c r="L3" s="382"/>
      <c r="M3" s="161"/>
    </row>
    <row r="4" s="1" customFormat="1" ht="30" customHeight="1" spans="1:13">
      <c r="A4" s="385"/>
      <c r="B4" s="386" t="s">
        <v>8</v>
      </c>
      <c r="C4" s="387" t="s">
        <v>9</v>
      </c>
      <c r="D4" s="387" t="s">
        <v>10</v>
      </c>
      <c r="E4" s="388" t="s">
        <v>8</v>
      </c>
      <c r="F4" s="389" t="s">
        <v>854</v>
      </c>
      <c r="G4" s="389" t="s">
        <v>855</v>
      </c>
      <c r="H4" s="389" t="s">
        <v>856</v>
      </c>
      <c r="I4" s="389" t="s">
        <v>857</v>
      </c>
      <c r="J4" s="389" t="s">
        <v>858</v>
      </c>
      <c r="K4" s="396" t="s">
        <v>8</v>
      </c>
      <c r="L4" s="397" t="s">
        <v>9</v>
      </c>
      <c r="M4" s="396" t="s">
        <v>10</v>
      </c>
    </row>
    <row r="5" s="1" customFormat="1" ht="21.75" customHeight="1" spans="1:13">
      <c r="A5" s="390" t="s">
        <v>42</v>
      </c>
      <c r="B5" s="391">
        <f>C5+D5</f>
        <v>202376.266437</v>
      </c>
      <c r="C5" s="391">
        <f t="shared" ref="C5:F5" si="0">SUM(C6:C27)</f>
        <v>177749.6207</v>
      </c>
      <c r="D5" s="391">
        <f t="shared" si="0"/>
        <v>24626.645737</v>
      </c>
      <c r="E5" s="391">
        <f>F5+G5+H5+I5+J5</f>
        <v>100409.291049</v>
      </c>
      <c r="F5" s="391">
        <f>SUM(F6:F27)</f>
        <v>0</v>
      </c>
      <c r="G5" s="391">
        <f>SUM(G6:G27)</f>
        <v>19773.04127</v>
      </c>
      <c r="H5" s="391">
        <f>SUM(H6:H27)</f>
        <v>102623.3431</v>
      </c>
      <c r="I5" s="391">
        <f>SUM(I6:I27)</f>
        <v>20874.769734</v>
      </c>
      <c r="J5" s="391">
        <f>SUM(J6:J27)</f>
        <v>-42861.863055</v>
      </c>
      <c r="K5" s="391">
        <f t="shared" ref="K5:K29" si="1">L5+M5</f>
        <v>302785.557486</v>
      </c>
      <c r="L5" s="391">
        <f>SUM(L6:L27)</f>
        <v>282325.341749</v>
      </c>
      <c r="M5" s="391">
        <f>SUM(M6:M27)</f>
        <v>20460.215737</v>
      </c>
    </row>
    <row r="6" s="1" customFormat="1" ht="21.75" customHeight="1" spans="1:13">
      <c r="A6" s="165" t="s">
        <v>43</v>
      </c>
      <c r="B6" s="392">
        <f t="shared" ref="B6:B29" si="2">C6+D6</f>
        <v>26952.725995</v>
      </c>
      <c r="C6" s="392">
        <f>SUMIFS('02支出调整（功能分类 ）'!C:C,'02支出调整（功能分类 ）'!A:A,A6)</f>
        <v>22847.319025</v>
      </c>
      <c r="D6" s="392">
        <f>SUMIFS('02支出调整（功能分类 ）'!D:D,'02支出调整（功能分类 ）'!A:A,A6)</f>
        <v>4105.40697</v>
      </c>
      <c r="E6" s="392">
        <f>F6+G6+H6+I6+J6</f>
        <v>1864.267697</v>
      </c>
      <c r="F6" s="392">
        <v>513.08</v>
      </c>
      <c r="G6" s="392">
        <v>1419.2798</v>
      </c>
      <c r="H6" s="392">
        <v>759.633036</v>
      </c>
      <c r="I6" s="392">
        <v>478.450397</v>
      </c>
      <c r="J6" s="392">
        <v>-1306.175536</v>
      </c>
      <c r="K6" s="392">
        <f t="shared" si="1"/>
        <v>28816.993692</v>
      </c>
      <c r="L6" s="392">
        <f>SUMIFS('02支出调整（功能分类 ）'!F:F,'02支出调整（功能分类 ）'!A:A,A6)</f>
        <v>24636.616722</v>
      </c>
      <c r="M6" s="392">
        <f>SUMIFS('02支出调整（功能分类 ）'!G:G,'02支出调整（功能分类 ）'!A:A,A6)</f>
        <v>4180.37697</v>
      </c>
    </row>
    <row r="7" s="1" customFormat="1" ht="21.75" customHeight="1" spans="1:13">
      <c r="A7" s="393" t="s">
        <v>118</v>
      </c>
      <c r="B7" s="392">
        <f t="shared" si="2"/>
        <v>0</v>
      </c>
      <c r="C7" s="392">
        <f>SUMIFS('02支出调整（功能分类 ）'!C:C,'02支出调整（功能分类 ）'!A:A,A7)</f>
        <v>0</v>
      </c>
      <c r="D7" s="392">
        <f>SUMIFS('02支出调整（功能分类 ）'!D:D,'02支出调整（功能分类 ）'!A:A,A7)</f>
        <v>0</v>
      </c>
      <c r="E7" s="392">
        <f t="shared" ref="E7:E29" si="3">F7+G7+H7+I7+J7</f>
        <v>3</v>
      </c>
      <c r="F7" s="392">
        <v>0</v>
      </c>
      <c r="G7" s="392">
        <v>0</v>
      </c>
      <c r="H7" s="392">
        <v>3</v>
      </c>
      <c r="I7" s="392">
        <v>0</v>
      </c>
      <c r="J7" s="392">
        <v>0</v>
      </c>
      <c r="K7" s="392">
        <f t="shared" si="1"/>
        <v>3</v>
      </c>
      <c r="L7" s="392">
        <f>SUMIFS('02支出调整（功能分类 ）'!F:F,'02支出调整（功能分类 ）'!A:A,A7)</f>
        <v>3</v>
      </c>
      <c r="M7" s="392">
        <f>SUMIFS('02支出调整（功能分类 ）'!G:G,'02支出调整（功能分类 ）'!A:A,A7)</f>
        <v>0</v>
      </c>
    </row>
    <row r="8" s="1" customFormat="1" ht="21.75" customHeight="1" spans="1:13">
      <c r="A8" s="393" t="s">
        <v>859</v>
      </c>
      <c r="B8" s="392">
        <f t="shared" si="2"/>
        <v>1927.132844</v>
      </c>
      <c r="C8" s="392">
        <f>SUMIFS('02支出调整（功能分类 ）'!C:C,'02支出调整（功能分类 ）'!A:A,A8)</f>
        <v>1927.132844</v>
      </c>
      <c r="D8" s="392">
        <f>SUMIFS('02支出调整（功能分类 ）'!D:D,'02支出调整（功能分类 ）'!A:A,A8)</f>
        <v>0</v>
      </c>
      <c r="E8" s="392">
        <f t="shared" si="3"/>
        <v>145.5</v>
      </c>
      <c r="F8" s="392">
        <v>0</v>
      </c>
      <c r="G8" s="392">
        <v>20</v>
      </c>
      <c r="H8" s="392">
        <v>0</v>
      </c>
      <c r="I8" s="392">
        <v>129</v>
      </c>
      <c r="J8" s="392">
        <v>-3.5</v>
      </c>
      <c r="K8" s="392">
        <f t="shared" si="1"/>
        <v>2072.632844</v>
      </c>
      <c r="L8" s="392">
        <f>SUMIFS('02支出调整（功能分类 ）'!F:F,'02支出调整（功能分类 ）'!A:A,A8)</f>
        <v>2072.632844</v>
      </c>
      <c r="M8" s="392">
        <f>SUMIFS('02支出调整（功能分类 ）'!G:G,'02支出调整（功能分类 ）'!A:A,A8)</f>
        <v>0</v>
      </c>
    </row>
    <row r="9" s="1" customFormat="1" ht="21.75" customHeight="1" spans="1:13">
      <c r="A9" s="165" t="s">
        <v>132</v>
      </c>
      <c r="B9" s="392">
        <f t="shared" si="2"/>
        <v>41475.945327</v>
      </c>
      <c r="C9" s="392">
        <f>SUMIFS('02支出调整（功能分类 ）'!C:C,'02支出调整（功能分类 ）'!A:A,A9)</f>
        <v>33566.001674</v>
      </c>
      <c r="D9" s="392">
        <f>SUMIFS('02支出调整（功能分类 ）'!D:D,'02支出调整（功能分类 ）'!A:A,A9)</f>
        <v>7909.943653</v>
      </c>
      <c r="E9" s="392">
        <f t="shared" si="3"/>
        <v>-142.417817</v>
      </c>
      <c r="F9" s="392">
        <v>3.1</v>
      </c>
      <c r="G9" s="392">
        <v>12</v>
      </c>
      <c r="H9" s="392">
        <v>3488.684204</v>
      </c>
      <c r="I9" s="392">
        <v>1996.476909</v>
      </c>
      <c r="J9" s="392">
        <f>-5540.27893-102.4</f>
        <v>-5642.67893</v>
      </c>
      <c r="K9" s="392">
        <f t="shared" si="1"/>
        <v>41333.52751</v>
      </c>
      <c r="L9" s="392">
        <f>SUMIFS('02支出调整（功能分类 ）'!F:F,'02支出调整（功能分类 ）'!A:A,A9)</f>
        <v>33068.123857</v>
      </c>
      <c r="M9" s="392">
        <f>SUMIFS('02支出调整（功能分类 ）'!G:G,'02支出调整（功能分类 ）'!A:A,A9)</f>
        <v>8265.403653</v>
      </c>
    </row>
    <row r="10" s="1" customFormat="1" ht="21.75" customHeight="1" spans="1:13">
      <c r="A10" s="165" t="s">
        <v>142</v>
      </c>
      <c r="B10" s="392">
        <f t="shared" si="2"/>
        <v>2759.082243</v>
      </c>
      <c r="C10" s="392">
        <f>SUMIFS('02支出调整（功能分类 ）'!C:C,'02支出调整（功能分类 ）'!A:A,A10)</f>
        <v>2759.082243</v>
      </c>
      <c r="D10" s="392">
        <f>SUMIFS('02支出调整（功能分类 ）'!D:D,'02支出调整（功能分类 ）'!A:A,A10)</f>
        <v>0</v>
      </c>
      <c r="E10" s="392">
        <f t="shared" si="3"/>
        <v>6261.6615</v>
      </c>
      <c r="F10" s="392">
        <f>1221.6+3300</f>
        <v>4521.6</v>
      </c>
      <c r="G10" s="392">
        <v>59.76</v>
      </c>
      <c r="H10" s="392">
        <v>0</v>
      </c>
      <c r="I10" s="392">
        <v>1711.4015</v>
      </c>
      <c r="J10" s="392">
        <f>-23-8.1</f>
        <v>-31.1</v>
      </c>
      <c r="K10" s="392">
        <f t="shared" si="1"/>
        <v>9020.743743</v>
      </c>
      <c r="L10" s="392">
        <f>SUMIFS('02支出调整（功能分类 ）'!F:F,'02支出调整（功能分类 ）'!A:A,A10)</f>
        <v>9020.743743</v>
      </c>
      <c r="M10" s="392">
        <f>SUMIFS('02支出调整（功能分类 ）'!G:G,'02支出调整（功能分类 ）'!A:A,A10)</f>
        <v>0</v>
      </c>
    </row>
    <row r="11" s="1" customFormat="1" ht="21.75" customHeight="1" spans="1:13">
      <c r="A11" s="165" t="s">
        <v>151</v>
      </c>
      <c r="B11" s="392">
        <f t="shared" si="2"/>
        <v>416.420797</v>
      </c>
      <c r="C11" s="392">
        <f>SUMIFS('02支出调整（功能分类 ）'!C:C,'02支出调整（功能分类 ）'!A:A,A11)</f>
        <v>416.420797</v>
      </c>
      <c r="D11" s="392">
        <f>SUMIFS('02支出调整（功能分类 ）'!D:D,'02支出调整（功能分类 ）'!A:A,A11)</f>
        <v>0</v>
      </c>
      <c r="E11" s="392">
        <f t="shared" si="3"/>
        <v>137.250015</v>
      </c>
      <c r="F11" s="392">
        <v>1.2</v>
      </c>
      <c r="G11" s="392">
        <v>40.98</v>
      </c>
      <c r="H11" s="392">
        <v>-12</v>
      </c>
      <c r="I11" s="392">
        <v>131.230015</v>
      </c>
      <c r="J11" s="392">
        <v>-24.16</v>
      </c>
      <c r="K11" s="392">
        <f t="shared" si="1"/>
        <v>553.670812</v>
      </c>
      <c r="L11" s="392">
        <f>SUMIFS('02支出调整（功能分类 ）'!F:F,'02支出调整（功能分类 ）'!A:A,A11)</f>
        <v>553.670812</v>
      </c>
      <c r="M11" s="392">
        <f>SUMIFS('02支出调整（功能分类 ）'!G:G,'02支出调整（功能分类 ）'!A:A,A11)</f>
        <v>0</v>
      </c>
    </row>
    <row r="12" s="1" customFormat="1" ht="21.75" customHeight="1" spans="1:13">
      <c r="A12" s="165" t="s">
        <v>163</v>
      </c>
      <c r="B12" s="392">
        <f t="shared" si="2"/>
        <v>21487.246466</v>
      </c>
      <c r="C12" s="392">
        <f>SUMIFS('02支出调整（功能分类 ）'!C:C,'02支出调整（功能分类 ）'!A:A,A12)</f>
        <v>18687.136466</v>
      </c>
      <c r="D12" s="392">
        <f>SUMIFS('02支出调整（功能分类 ）'!D:D,'02支出调整（功能分类 ）'!A:A,A12)</f>
        <v>2800.11</v>
      </c>
      <c r="E12" s="392">
        <f t="shared" si="3"/>
        <v>-896.57796200001</v>
      </c>
      <c r="F12" s="392">
        <v>-11.18</v>
      </c>
      <c r="G12" s="392">
        <v>107.31</v>
      </c>
      <c r="H12" s="392">
        <v>337.8</v>
      </c>
      <c r="I12" s="392">
        <v>1395.791414</v>
      </c>
      <c r="J12" s="392">
        <v>-2726.29937600001</v>
      </c>
      <c r="K12" s="392">
        <f t="shared" si="1"/>
        <v>20590.668504</v>
      </c>
      <c r="L12" s="392">
        <f>SUMIFS('02支出调整（功能分类 ）'!F:F,'02支出调整（功能分类 ）'!A:A,A12)</f>
        <v>18018.248504</v>
      </c>
      <c r="M12" s="392">
        <f>SUMIFS('02支出调整（功能分类 ）'!G:G,'02支出调整（功能分类 ）'!A:A,A12)</f>
        <v>2572.42</v>
      </c>
    </row>
    <row r="13" s="1" customFormat="1" ht="21.75" customHeight="1" spans="1:13">
      <c r="A13" s="165" t="s">
        <v>211</v>
      </c>
      <c r="B13" s="392">
        <f t="shared" si="2"/>
        <v>9215.063211</v>
      </c>
      <c r="C13" s="392">
        <f>SUMIFS('02支出调整（功能分类 ）'!C:C,'02支出调整（功能分类 ）'!A:A,A13)</f>
        <v>8790.016165</v>
      </c>
      <c r="D13" s="392">
        <f>SUMIFS('02支出调整（功能分类 ）'!D:D,'02支出调整（功能分类 ）'!A:A,A13)</f>
        <v>425.047046</v>
      </c>
      <c r="E13" s="392">
        <f t="shared" si="3"/>
        <v>-355.643098</v>
      </c>
      <c r="F13" s="392">
        <v>142.9</v>
      </c>
      <c r="G13" s="392">
        <v>83</v>
      </c>
      <c r="H13" s="392">
        <v>1166</v>
      </c>
      <c r="I13" s="392">
        <v>194.864902</v>
      </c>
      <c r="J13" s="392">
        <v>-1942.408</v>
      </c>
      <c r="K13" s="392">
        <f t="shared" si="1"/>
        <v>8859.420113</v>
      </c>
      <c r="L13" s="392">
        <f>SUMIFS('02支出调整（功能分类 ）'!F:F,'02支出调整（功能分类 ）'!A:A,A13)</f>
        <v>7777.373067</v>
      </c>
      <c r="M13" s="392">
        <f>SUMIFS('02支出调整（功能分类 ）'!G:G,'02支出调整（功能分类 ）'!A:A,A13)</f>
        <v>1082.047046</v>
      </c>
    </row>
    <row r="14" s="1" customFormat="1" ht="21.75" customHeight="1" spans="1:13">
      <c r="A14" s="165" t="s">
        <v>242</v>
      </c>
      <c r="B14" s="392">
        <f t="shared" si="2"/>
        <v>2963.688037</v>
      </c>
      <c r="C14" s="392">
        <f>SUMIFS('02支出调整（功能分类 ）'!C:C,'02支出调整（功能分类 ）'!A:A,A14)</f>
        <v>2963.688037</v>
      </c>
      <c r="D14" s="392">
        <f>SUMIFS('02支出调整（功能分类 ）'!D:D,'02支出调整（功能分类 ）'!A:A,A14)</f>
        <v>0</v>
      </c>
      <c r="E14" s="392">
        <f t="shared" si="3"/>
        <v>9154.7588</v>
      </c>
      <c r="F14" s="392">
        <v>5.02</v>
      </c>
      <c r="G14" s="392">
        <f>102.9+100</f>
        <v>202.9</v>
      </c>
      <c r="H14" s="392">
        <v>1395</v>
      </c>
      <c r="I14" s="392">
        <f>9509.314964-1135</f>
        <v>8374.314964</v>
      </c>
      <c r="J14" s="392">
        <v>-822.476164</v>
      </c>
      <c r="K14" s="392">
        <f t="shared" si="1"/>
        <v>12118.446837</v>
      </c>
      <c r="L14" s="392">
        <f>SUMIFS('02支出调整（功能分类 ）'!F:F,'02支出调整（功能分类 ）'!A:A,A14)</f>
        <v>11865.206837</v>
      </c>
      <c r="M14" s="392">
        <f>SUMIFS('02支出调整（功能分类 ）'!G:G,'02支出调整（功能分类 ）'!A:A,A14)</f>
        <v>253.24</v>
      </c>
    </row>
    <row r="15" s="1" customFormat="1" ht="21.75" customHeight="1" spans="1:13">
      <c r="A15" s="165" t="s">
        <v>257</v>
      </c>
      <c r="B15" s="392">
        <f t="shared" si="2"/>
        <v>39233.449061</v>
      </c>
      <c r="C15" s="392">
        <f>SUMIFS('02支出调整（功能分类 ）'!C:C,'02支出调整（功能分类 ）'!A:A,A15)</f>
        <v>36378.376587</v>
      </c>
      <c r="D15" s="392">
        <f>SUMIFS('02支出调整（功能分类 ）'!D:D,'02支出调整（功能分类 ）'!A:A,A15)</f>
        <v>2855.072474</v>
      </c>
      <c r="E15" s="392">
        <f t="shared" si="3"/>
        <v>23289.856639</v>
      </c>
      <c r="F15" s="392">
        <f>19.9-360</f>
        <v>-340.1</v>
      </c>
      <c r="G15" s="392">
        <f>4420.8187+18-8.998335</f>
        <v>4429.820365</v>
      </c>
      <c r="H15" s="392">
        <f>28.998335+21495</f>
        <v>21523.998335</v>
      </c>
      <c r="I15" s="392">
        <v>857.057939</v>
      </c>
      <c r="J15" s="392">
        <f>-3059.918335-130+8.998335</f>
        <v>-3180.92</v>
      </c>
      <c r="K15" s="392">
        <f t="shared" si="1"/>
        <v>62523.3057</v>
      </c>
      <c r="L15" s="392">
        <f>SUMIFS('02支出调整（功能分类 ）'!F:F,'02支出调整（功能分类 ）'!A:A,A15)</f>
        <v>59729.153226</v>
      </c>
      <c r="M15" s="392">
        <f>SUMIFS('02支出调整（功能分类 ）'!G:G,'02支出调整（功能分类 ）'!A:A,A15)</f>
        <v>2794.152474</v>
      </c>
    </row>
    <row r="16" s="1" customFormat="1" ht="21.75" customHeight="1" spans="1:13">
      <c r="A16" s="165" t="s">
        <v>269</v>
      </c>
      <c r="B16" s="392">
        <f t="shared" si="2"/>
        <v>9891.665949</v>
      </c>
      <c r="C16" s="392">
        <f>SUMIFS('02支出调整（功能分类 ）'!C:C,'02支出调整（功能分类 ）'!A:A,A16)</f>
        <v>9891.665949</v>
      </c>
      <c r="D16" s="392">
        <f>SUMIFS('02支出调整（功能分类 ）'!D:D,'02支出调整（功能分类 ）'!A:A,A16)</f>
        <v>0</v>
      </c>
      <c r="E16" s="392">
        <f t="shared" si="3"/>
        <v>4164.758755</v>
      </c>
      <c r="F16" s="392">
        <f>-6.2-3+360+112</f>
        <v>462.8</v>
      </c>
      <c r="G16" s="392">
        <v>782.169</v>
      </c>
      <c r="H16" s="392">
        <v>2750.943</v>
      </c>
      <c r="I16" s="392">
        <v>1622.489379</v>
      </c>
      <c r="J16" s="392">
        <v>-1453.642624</v>
      </c>
      <c r="K16" s="392">
        <f t="shared" si="1"/>
        <v>14056.424704</v>
      </c>
      <c r="L16" s="392">
        <f>SUMIFS('02支出调整（功能分类 ）'!F:F,'02支出调整（功能分类 ）'!A:A,A16)</f>
        <v>13991.424704</v>
      </c>
      <c r="M16" s="392">
        <f>SUMIFS('02支出调整（功能分类 ）'!G:G,'02支出调整（功能分类 ）'!A:A,A16)</f>
        <v>65</v>
      </c>
    </row>
    <row r="17" s="1" customFormat="1" ht="21.75" customHeight="1" spans="1:13">
      <c r="A17" s="165" t="s">
        <v>310</v>
      </c>
      <c r="B17" s="392">
        <f t="shared" si="2"/>
        <v>9</v>
      </c>
      <c r="C17" s="392">
        <f>SUMIFS('02支出调整（功能分类 ）'!C:C,'02支出调整（功能分类 ）'!A:A,A17)</f>
        <v>9</v>
      </c>
      <c r="D17" s="392">
        <f>SUMIFS('02支出调整（功能分类 ）'!D:D,'02支出调整（功能分类 ）'!A:A,A17)</f>
        <v>0</v>
      </c>
      <c r="E17" s="392">
        <f t="shared" si="3"/>
        <v>1791.687375</v>
      </c>
      <c r="F17" s="392">
        <v>0</v>
      </c>
      <c r="G17" s="392">
        <v>0</v>
      </c>
      <c r="H17" s="392">
        <v>0</v>
      </c>
      <c r="I17" s="392">
        <v>1791.687375</v>
      </c>
      <c r="J17" s="392">
        <v>0</v>
      </c>
      <c r="K17" s="392">
        <f t="shared" si="1"/>
        <v>1800.687375</v>
      </c>
      <c r="L17" s="392">
        <f>SUMIFS('02支出调整（功能分类 ）'!F:F,'02支出调整（功能分类 ）'!A:A,A17)</f>
        <v>1800.687375</v>
      </c>
      <c r="M17" s="392">
        <f>SUMIFS('02支出调整（功能分类 ）'!G:G,'02支出调整（功能分类 ）'!A:A,A17)</f>
        <v>0</v>
      </c>
    </row>
    <row r="18" s="1" customFormat="1" ht="21.75" customHeight="1" spans="1:13">
      <c r="A18" s="165" t="s">
        <v>316</v>
      </c>
      <c r="B18" s="392">
        <f t="shared" si="2"/>
        <v>21032.995536</v>
      </c>
      <c r="C18" s="392">
        <f>SUMIFS('02支出调整（功能分类 ）'!C:C,'02支出调整（功能分类 ）'!A:A,A18)</f>
        <v>20926.929942</v>
      </c>
      <c r="D18" s="392">
        <f>SUMIFS('02支出调整（功能分类 ）'!D:D,'02支出调整（功能分类 ）'!A:A,A18)</f>
        <v>106.065594</v>
      </c>
      <c r="E18" s="392">
        <f t="shared" si="3"/>
        <v>-13988.96</v>
      </c>
      <c r="F18" s="392">
        <f>-1296.96+3-3300</f>
        <v>-4593.96</v>
      </c>
      <c r="G18" s="392">
        <v>0</v>
      </c>
      <c r="H18" s="392">
        <v>5.174425</v>
      </c>
      <c r="I18" s="392">
        <v>325</v>
      </c>
      <c r="J18" s="392">
        <f>-10095.174425-30+400</f>
        <v>-9725.174425</v>
      </c>
      <c r="K18" s="392">
        <f t="shared" si="1"/>
        <v>7044.035536</v>
      </c>
      <c r="L18" s="392">
        <f>SUMIFS('02支出调整（功能分类 ）'!F:F,'02支出调整（功能分类 ）'!A:A,A18)</f>
        <v>6936.949942</v>
      </c>
      <c r="M18" s="392">
        <f>SUMIFS('02支出调整（功能分类 ）'!G:G,'02支出调整（功能分类 ）'!A:A,A18)</f>
        <v>107.085594</v>
      </c>
    </row>
    <row r="19" s="1" customFormat="1" ht="21.75" customHeight="1" spans="1:13">
      <c r="A19" s="393" t="s">
        <v>327</v>
      </c>
      <c r="B19" s="392">
        <f t="shared" si="2"/>
        <v>0</v>
      </c>
      <c r="C19" s="392">
        <f>SUMIFS('02支出调整（功能分类 ）'!C:C,'02支出调整（功能分类 ）'!A:A,A19)</f>
        <v>0</v>
      </c>
      <c r="D19" s="392">
        <f>SUMIFS('02支出调整（功能分类 ）'!D:D,'02支出调整（功能分类 ）'!A:A,A19)</f>
        <v>0</v>
      </c>
      <c r="E19" s="392">
        <f t="shared" si="3"/>
        <v>825.4</v>
      </c>
      <c r="F19" s="392">
        <v>0</v>
      </c>
      <c r="G19" s="392">
        <v>0</v>
      </c>
      <c r="H19" s="392">
        <v>800</v>
      </c>
      <c r="I19" s="392">
        <v>25.4</v>
      </c>
      <c r="J19" s="392">
        <v>0</v>
      </c>
      <c r="K19" s="392">
        <f t="shared" si="1"/>
        <v>825.4</v>
      </c>
      <c r="L19" s="392">
        <f>SUMIFS('02支出调整（功能分类 ）'!F:F,'02支出调整（功能分类 ）'!A:A,A19)</f>
        <v>825.4</v>
      </c>
      <c r="M19" s="392">
        <f>SUMIFS('02支出调整（功能分类 ）'!G:G,'02支出调整（功能分类 ）'!A:A,A19)</f>
        <v>0</v>
      </c>
    </row>
    <row r="20" s="1" customFormat="1" ht="21.75" customHeight="1" spans="1:13">
      <c r="A20" s="393" t="s">
        <v>332</v>
      </c>
      <c r="B20" s="392">
        <f t="shared" si="2"/>
        <v>0</v>
      </c>
      <c r="C20" s="392">
        <f>SUMIFS('02支出调整（功能分类 ）'!C:C,'02支出调整（功能分类 ）'!A:A,A20)</f>
        <v>0</v>
      </c>
      <c r="D20" s="392">
        <f>SUMIFS('02支出调整（功能分类 ）'!D:D,'02支出调整（功能分类 ）'!A:A,A20)</f>
        <v>0</v>
      </c>
      <c r="E20" s="392">
        <f t="shared" si="3"/>
        <v>71.062105</v>
      </c>
      <c r="F20" s="392">
        <v>0</v>
      </c>
      <c r="G20" s="392">
        <v>71.062105</v>
      </c>
      <c r="H20" s="392">
        <v>0</v>
      </c>
      <c r="I20" s="392">
        <v>0</v>
      </c>
      <c r="J20" s="392">
        <v>0</v>
      </c>
      <c r="K20" s="392">
        <f t="shared" si="1"/>
        <v>71.062105</v>
      </c>
      <c r="L20" s="392">
        <f>SUMIFS('02支出调整（功能分类 ）'!F:F,'02支出调整（功能分类 ）'!A:A,A20)</f>
        <v>71.062105</v>
      </c>
      <c r="M20" s="392">
        <f>SUMIFS('02支出调整（功能分类 ）'!G:G,'02支出调整（功能分类 ）'!A:A,A20)</f>
        <v>0</v>
      </c>
    </row>
    <row r="21" s="1" customFormat="1" ht="21.75" customHeight="1" spans="1:13">
      <c r="A21" s="165" t="s">
        <v>335</v>
      </c>
      <c r="B21" s="392">
        <f t="shared" si="2"/>
        <v>1684.454596</v>
      </c>
      <c r="C21" s="392">
        <f>SUMIFS('02支出调整（功能分类 ）'!C:C,'02支出调整（功能分类 ）'!A:A,A21)</f>
        <v>1684.454596</v>
      </c>
      <c r="D21" s="392">
        <f>SUMIFS('02支出调整（功能分类 ）'!D:D,'02支出调整（功能分类 ）'!A:A,A21)</f>
        <v>0</v>
      </c>
      <c r="E21" s="392">
        <f t="shared" si="3"/>
        <v>4501.22</v>
      </c>
      <c r="F21" s="392">
        <v>7.84</v>
      </c>
      <c r="G21" s="392">
        <v>4952.38</v>
      </c>
      <c r="H21" s="392">
        <v>0</v>
      </c>
      <c r="I21" s="392">
        <v>0</v>
      </c>
      <c r="J21" s="392">
        <v>-459</v>
      </c>
      <c r="K21" s="392">
        <f t="shared" si="1"/>
        <v>6185.674596</v>
      </c>
      <c r="L21" s="392">
        <f>SUMIFS('02支出调整（功能分类 ）'!F:F,'02支出调整（功能分类 ）'!A:A,A21)</f>
        <v>6185.674596</v>
      </c>
      <c r="M21" s="392">
        <f>SUMIFS('02支出调整（功能分类 ）'!G:G,'02支出调整（功能分类 ）'!A:A,A21)</f>
        <v>0</v>
      </c>
    </row>
    <row r="22" s="1" customFormat="1" ht="21.75" customHeight="1" spans="1:13">
      <c r="A22" s="393" t="s">
        <v>341</v>
      </c>
      <c r="B22" s="392">
        <f t="shared" si="2"/>
        <v>0</v>
      </c>
      <c r="C22" s="392">
        <f>SUMIFS('02支出调整（功能分类 ）'!C:C,'02支出调整（功能分类 ）'!A:A,A22)</f>
        <v>0</v>
      </c>
      <c r="D22" s="392">
        <f>SUMIFS('02支出调整（功能分类 ）'!D:D,'02支出调整（功能分类 ）'!A:A,A22)</f>
        <v>0</v>
      </c>
      <c r="E22" s="392">
        <f t="shared" si="3"/>
        <v>78071</v>
      </c>
      <c r="F22" s="392">
        <f>385.052141+594.947859</f>
        <v>980</v>
      </c>
      <c r="G22" s="392">
        <v>7080</v>
      </c>
      <c r="H22" s="392">
        <v>70011</v>
      </c>
      <c r="I22" s="392">
        <v>0</v>
      </c>
      <c r="J22" s="392">
        <v>0</v>
      </c>
      <c r="K22" s="392">
        <f t="shared" si="1"/>
        <v>78071</v>
      </c>
      <c r="L22" s="392">
        <f>SUMIFS('02支出调整（功能分类 ）'!F:F,'02支出调整（功能分类 ）'!A:A,A22)</f>
        <v>78071</v>
      </c>
      <c r="M22" s="392">
        <f>SUMIFS('02支出调整（功能分类 ）'!G:G,'02支出调整（功能分类 ）'!A:A,A22)</f>
        <v>0</v>
      </c>
    </row>
    <row r="23" s="1" customFormat="1" ht="21.75" customHeight="1" spans="1:13">
      <c r="A23" s="165" t="s">
        <v>347</v>
      </c>
      <c r="B23" s="392">
        <f t="shared" si="2"/>
        <v>1431.996375</v>
      </c>
      <c r="C23" s="392">
        <f>SUMIFS('02支出调整（功能分类 ）'!C:C,'02支出调整（功能分类 ）'!A:A,A23)</f>
        <v>1431.996375</v>
      </c>
      <c r="D23" s="392">
        <f>SUMIFS('02支出调整（功能分类 ）'!D:D,'02支出调整（功能分类 ）'!A:A,A23)</f>
        <v>0</v>
      </c>
      <c r="E23" s="392">
        <f t="shared" si="3"/>
        <v>594.24704</v>
      </c>
      <c r="F23" s="392">
        <v>1.40000000000001</v>
      </c>
      <c r="G23" s="392">
        <v>225.45</v>
      </c>
      <c r="H23" s="392">
        <v>191.1101</v>
      </c>
      <c r="I23" s="392">
        <v>181.60494</v>
      </c>
      <c r="J23" s="392">
        <v>-5.318</v>
      </c>
      <c r="K23" s="392">
        <f t="shared" si="1"/>
        <v>2026.243415</v>
      </c>
      <c r="L23" s="392">
        <f>SUMIFS('02支出调整（功能分类 ）'!F:F,'02支出调整（功能分类 ）'!A:A,A23)</f>
        <v>2026.243415</v>
      </c>
      <c r="M23" s="392">
        <f>SUMIFS('02支出调整（功能分类 ）'!G:G,'02支出调整（功能分类 ）'!A:A,A23)</f>
        <v>0</v>
      </c>
    </row>
    <row r="24" s="1" customFormat="1" ht="21.75" customHeight="1" spans="1:13">
      <c r="A24" s="165" t="s">
        <v>365</v>
      </c>
      <c r="B24" s="392">
        <f t="shared" si="2"/>
        <v>5000</v>
      </c>
      <c r="C24" s="392">
        <f>SUMIFS('02支出调整（功能分类 ）'!C:C,'02支出调整（功能分类 ）'!A:A,A24)</f>
        <v>4400</v>
      </c>
      <c r="D24" s="392">
        <f>SUMIFS('02支出调整（功能分类 ）'!D:D,'02支出调整（功能分类 ）'!A:A,A24)</f>
        <v>600</v>
      </c>
      <c r="E24" s="392">
        <f t="shared" si="3"/>
        <v>-5000</v>
      </c>
      <c r="F24" s="392">
        <v>0</v>
      </c>
      <c r="G24" s="392">
        <v>0</v>
      </c>
      <c r="H24" s="392">
        <v>0</v>
      </c>
      <c r="I24" s="392">
        <v>0</v>
      </c>
      <c r="J24" s="392">
        <v>-5000</v>
      </c>
      <c r="K24" s="392">
        <f t="shared" si="1"/>
        <v>0</v>
      </c>
      <c r="L24" s="392">
        <f>SUMIFS('02支出调整（功能分类 ）'!F:F,'02支出调整（功能分类 ）'!A:A,A24)</f>
        <v>0</v>
      </c>
      <c r="M24" s="392">
        <f>SUMIFS('02支出调整（功能分类 ）'!G:G,'02支出调整（功能分类 ）'!A:A,A24)</f>
        <v>0</v>
      </c>
    </row>
    <row r="25" s="1" customFormat="1" ht="21.75" customHeight="1" spans="1:13">
      <c r="A25" s="165" t="s">
        <v>368</v>
      </c>
      <c r="B25" s="392">
        <f t="shared" si="2"/>
        <v>12235.4</v>
      </c>
      <c r="C25" s="392">
        <f>SUMIFS('02支出调整（功能分类 ）'!C:C,'02支出调整（功能分类 ）'!A:A,A25)</f>
        <v>7080.4</v>
      </c>
      <c r="D25" s="392">
        <f>SUMIFS('02支出调整（功能分类 ）'!D:D,'02支出调整（功能分类 ）'!A:A,A25)</f>
        <v>5155</v>
      </c>
      <c r="E25" s="392">
        <f t="shared" si="3"/>
        <v>-9334.78</v>
      </c>
      <c r="F25" s="392">
        <f>-986.752141-594.947859-112</f>
        <v>-1693.7</v>
      </c>
      <c r="G25" s="392">
        <v>286.93</v>
      </c>
      <c r="H25" s="392">
        <v>203</v>
      </c>
      <c r="I25" s="392">
        <v>1660</v>
      </c>
      <c r="J25" s="392">
        <v>-9791.01</v>
      </c>
      <c r="K25" s="392">
        <f t="shared" si="1"/>
        <v>2900.62</v>
      </c>
      <c r="L25" s="392">
        <f>SUMIFS('02支出调整（功能分类 ）'!F:F,'02支出调整（功能分类 ）'!A:A,A25)</f>
        <v>2272.13</v>
      </c>
      <c r="M25" s="392">
        <f>SUMIFS('02支出调整（功能分类 ）'!G:G,'02支出调整（功能分类 ）'!A:A,A25)</f>
        <v>628.49</v>
      </c>
    </row>
    <row r="26" s="1" customFormat="1" ht="21.75" customHeight="1" spans="1:13">
      <c r="A26" s="165" t="s">
        <v>376</v>
      </c>
      <c r="B26" s="392">
        <f t="shared" si="2"/>
        <v>4600</v>
      </c>
      <c r="C26" s="392">
        <f>SUMIFS('02支出调整（功能分类 ）'!C:C,'02支出调整（功能分类 ）'!A:A,A26)</f>
        <v>3940</v>
      </c>
      <c r="D26" s="392">
        <f>SUMIFS('02支出调整（功能分类 ）'!D:D,'02支出调整（功能分类 ）'!A:A,A26)</f>
        <v>660</v>
      </c>
      <c r="E26" s="392">
        <f t="shared" si="3"/>
        <v>-748</v>
      </c>
      <c r="F26" s="392">
        <v>0</v>
      </c>
      <c r="G26" s="392">
        <v>0</v>
      </c>
      <c r="H26" s="392">
        <v>0</v>
      </c>
      <c r="I26" s="392">
        <v>0</v>
      </c>
      <c r="J26" s="392">
        <v>-748</v>
      </c>
      <c r="K26" s="392">
        <f t="shared" si="1"/>
        <v>3852</v>
      </c>
      <c r="L26" s="392">
        <f>SUMIFS('02支出调整（功能分类 ）'!F:F,'02支出调整（功能分类 ）'!A:A,A26)</f>
        <v>3350</v>
      </c>
      <c r="M26" s="392">
        <f>SUMIFS('02支出调整（功能分类 ）'!G:G,'02支出调整（功能分类 ）'!A:A,A26)</f>
        <v>502</v>
      </c>
    </row>
    <row r="27" s="1" customFormat="1" ht="21.75" customHeight="1" spans="1:13">
      <c r="A27" s="165" t="s">
        <v>379</v>
      </c>
      <c r="B27" s="392">
        <f t="shared" si="2"/>
        <v>60</v>
      </c>
      <c r="C27" s="392">
        <f>SUMIFS('02支出调整（功能分类 ）'!C:C,'02支出调整（功能分类 ）'!A:A,A27)</f>
        <v>50</v>
      </c>
      <c r="D27" s="392">
        <f>SUMIFS('02支出调整（功能分类 ）'!D:D,'02支出调整（功能分类 ）'!A:A,A27)</f>
        <v>10</v>
      </c>
      <c r="E27" s="392">
        <f t="shared" si="3"/>
        <v>0</v>
      </c>
      <c r="F27" s="392">
        <v>0</v>
      </c>
      <c r="G27" s="392">
        <v>0</v>
      </c>
      <c r="H27" s="392">
        <v>0</v>
      </c>
      <c r="I27" s="392">
        <v>0</v>
      </c>
      <c r="J27" s="392">
        <v>0</v>
      </c>
      <c r="K27" s="392">
        <f t="shared" si="1"/>
        <v>60</v>
      </c>
      <c r="L27" s="392">
        <f>SUMIFS('02支出调整（功能分类 ）'!F:F,'02支出调整（功能分类 ）'!A:A,A27)</f>
        <v>50</v>
      </c>
      <c r="M27" s="392">
        <f>SUMIFS('02支出调整（功能分类 ）'!G:G,'02支出调整（功能分类 ）'!A:A,A27)</f>
        <v>10</v>
      </c>
    </row>
    <row r="28" s="1" customFormat="1" ht="21.75" customHeight="1" spans="1:13">
      <c r="A28" s="165" t="s">
        <v>373</v>
      </c>
      <c r="B28" s="392">
        <f t="shared" si="2"/>
        <v>21376</v>
      </c>
      <c r="C28" s="392">
        <f>SUMIFS('02支出调整（功能分类 ）'!C:C,'02支出调整（功能分类 ）'!A:A,A28)</f>
        <v>20454</v>
      </c>
      <c r="D28" s="392">
        <f>SUMIFS('02支出调整（功能分类 ）'!D:D,'02支出调整（功能分类 ）'!A:A,A28)</f>
        <v>922</v>
      </c>
      <c r="E28" s="392">
        <f t="shared" si="3"/>
        <v>0</v>
      </c>
      <c r="F28" s="392">
        <v>0</v>
      </c>
      <c r="G28" s="392">
        <v>0</v>
      </c>
      <c r="H28" s="392">
        <v>0</v>
      </c>
      <c r="I28" s="392">
        <v>0</v>
      </c>
      <c r="J28" s="392">
        <v>0</v>
      </c>
      <c r="K28" s="392">
        <f t="shared" si="1"/>
        <v>21376</v>
      </c>
      <c r="L28" s="392">
        <f>SUMIFS('02支出调整（功能分类 ）'!F:F,'02支出调整（功能分类 ）'!A:A,A28)</f>
        <v>20454</v>
      </c>
      <c r="M28" s="392">
        <f>SUMIFS('02支出调整（功能分类 ）'!G:G,'02支出调整（功能分类 ）'!A:A,A28)</f>
        <v>922</v>
      </c>
    </row>
    <row r="29" s="1" customFormat="1" ht="21.75" customHeight="1" spans="1:13">
      <c r="A29" s="394" t="s">
        <v>384</v>
      </c>
      <c r="B29" s="391">
        <f t="shared" si="2"/>
        <v>223752.266437</v>
      </c>
      <c r="C29" s="391">
        <f t="shared" ref="C29:J29" si="4">C5+C28</f>
        <v>198203.6207</v>
      </c>
      <c r="D29" s="391">
        <f t="shared" si="4"/>
        <v>25548.645737</v>
      </c>
      <c r="E29" s="391">
        <f t="shared" si="4"/>
        <v>100409.291049</v>
      </c>
      <c r="F29" s="391">
        <f t="shared" si="4"/>
        <v>0</v>
      </c>
      <c r="G29" s="391">
        <f t="shared" si="4"/>
        <v>19773.04127</v>
      </c>
      <c r="H29" s="391">
        <f t="shared" si="4"/>
        <v>102623.3431</v>
      </c>
      <c r="I29" s="391">
        <f t="shared" si="4"/>
        <v>20874.769734</v>
      </c>
      <c r="J29" s="391">
        <f t="shared" si="4"/>
        <v>-42861.863055</v>
      </c>
      <c r="K29" s="391">
        <f t="shared" si="1"/>
        <v>324161.557486</v>
      </c>
      <c r="L29" s="391">
        <f>L5+L28</f>
        <v>302779.341749</v>
      </c>
      <c r="M29" s="391">
        <f>M5+M28</f>
        <v>21382.215737</v>
      </c>
    </row>
    <row r="31" customHeight="1" spans="11:13">
      <c r="K31" s="398"/>
      <c r="L31" s="398"/>
      <c r="M31" s="398"/>
    </row>
  </sheetData>
  <mergeCells count="5">
    <mergeCell ref="A1:M1"/>
    <mergeCell ref="B3:D3"/>
    <mergeCell ref="E3:J3"/>
    <mergeCell ref="K3:M3"/>
    <mergeCell ref="A3:A4"/>
  </mergeCells>
  <printOptions horizontalCentered="1"/>
  <pageMargins left="0.393055555555556" right="0.196527777777778" top="0.590277777777778" bottom="0.393055555555556" header="0.275" footer="0.275"/>
  <pageSetup paperSize="9" scale="81"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H184"/>
  <sheetViews>
    <sheetView showZeros="0" topLeftCell="A37" workbookViewId="0">
      <selection activeCell="A57" sqref="A57"/>
    </sheetView>
  </sheetViews>
  <sheetFormatPr defaultColWidth="19.125" defaultRowHeight="13.5" outlineLevelCol="7"/>
  <cols>
    <col min="1" max="1" width="12.625" customWidth="1"/>
    <col min="2" max="2" width="24.625" customWidth="1"/>
    <col min="3" max="7" width="10.625" customWidth="1"/>
    <col min="8" max="8" width="32.625" customWidth="1"/>
    <col min="9" max="9" width="7.375"/>
    <col min="10" max="16372" width="6.875"/>
  </cols>
  <sheetData>
    <row r="1" s="350" customFormat="1" ht="32" customHeight="1" spans="1:8">
      <c r="A1" s="354" t="s">
        <v>860</v>
      </c>
      <c r="B1" s="354"/>
      <c r="C1" s="354"/>
      <c r="D1" s="354"/>
      <c r="E1" s="354"/>
      <c r="F1" s="354"/>
      <c r="G1" s="354"/>
      <c r="H1" s="354"/>
    </row>
    <row r="2" s="351" customFormat="1" ht="18" customHeight="1" spans="1:8">
      <c r="A2" s="355"/>
      <c r="C2" s="356"/>
      <c r="D2" s="356"/>
      <c r="E2" s="356"/>
      <c r="F2" s="356"/>
      <c r="G2" s="356"/>
      <c r="H2" s="357" t="s">
        <v>1</v>
      </c>
    </row>
    <row r="3" s="291" customFormat="1" ht="26.25" customHeight="1" spans="1:8">
      <c r="A3" s="358" t="s">
        <v>861</v>
      </c>
      <c r="B3" s="358" t="s">
        <v>862</v>
      </c>
      <c r="C3" s="359" t="s">
        <v>863</v>
      </c>
      <c r="D3" s="359" t="s">
        <v>864</v>
      </c>
      <c r="E3" s="359"/>
      <c r="F3" s="359"/>
      <c r="G3" s="359" t="s">
        <v>5</v>
      </c>
      <c r="H3" s="360" t="s">
        <v>865</v>
      </c>
    </row>
    <row r="4" s="291" customFormat="1" ht="26.25" customHeight="1" spans="1:8">
      <c r="A4" s="358"/>
      <c r="B4" s="358"/>
      <c r="C4" s="359"/>
      <c r="D4" s="359" t="s">
        <v>8</v>
      </c>
      <c r="E4" s="359" t="s">
        <v>866</v>
      </c>
      <c r="F4" s="359" t="s">
        <v>867</v>
      </c>
      <c r="G4" s="359"/>
      <c r="H4" s="360"/>
    </row>
    <row r="5" s="352" customFormat="1" ht="26.25" customHeight="1" spans="1:8">
      <c r="A5" s="361"/>
      <c r="B5" s="362" t="s">
        <v>868</v>
      </c>
      <c r="C5" s="363">
        <f t="shared" ref="C5:G5" si="0">C6+C21</f>
        <v>195878.906437</v>
      </c>
      <c r="D5" s="363">
        <f t="shared" si="0"/>
        <v>100409.284379</v>
      </c>
      <c r="E5" s="363">
        <f t="shared" si="0"/>
        <v>161911.91127</v>
      </c>
      <c r="F5" s="363">
        <f t="shared" si="0"/>
        <v>-61502.626891</v>
      </c>
      <c r="G5" s="363">
        <f t="shared" si="0"/>
        <v>296288.190816</v>
      </c>
      <c r="H5" s="364"/>
    </row>
    <row r="6" s="352" customFormat="1" ht="26.25" customHeight="1" spans="1:8">
      <c r="A6" s="365"/>
      <c r="B6" s="366" t="s">
        <v>10</v>
      </c>
      <c r="C6" s="367">
        <f>SUM(C7:C20)</f>
        <v>23368.085737</v>
      </c>
      <c r="D6" s="367">
        <f>SUM(D7:D20)</f>
        <v>-4166.43</v>
      </c>
      <c r="E6" s="367">
        <f>SUM(E7:E20)</f>
        <v>4185.811665</v>
      </c>
      <c r="F6" s="367">
        <f>SUM(F7:F20)</f>
        <v>-8352.241665</v>
      </c>
      <c r="G6" s="367">
        <f>SUM(G7:G20)</f>
        <v>19201.655737</v>
      </c>
      <c r="H6" s="368"/>
    </row>
    <row r="7" s="353" customFormat="1" ht="26.25" customHeight="1" spans="1:8">
      <c r="A7" s="369" t="s">
        <v>869</v>
      </c>
      <c r="B7" s="370" t="s">
        <v>385</v>
      </c>
      <c r="C7" s="363">
        <f>'基本支出总表（铁）'!F6</f>
        <v>10461.635737</v>
      </c>
      <c r="D7" s="363">
        <f>E7+F7</f>
        <v>-316</v>
      </c>
      <c r="E7" s="363">
        <f>1058+18-8.998335</f>
        <v>1067.001665</v>
      </c>
      <c r="F7" s="363">
        <f>-1392+8.998335</f>
        <v>-1383.001665</v>
      </c>
      <c r="G7" s="363">
        <f>C7+D7</f>
        <v>10145.635737</v>
      </c>
      <c r="H7" s="371" t="s">
        <v>870</v>
      </c>
    </row>
    <row r="8" s="351" customFormat="1" ht="26.25" customHeight="1" spans="1:8">
      <c r="A8" s="369" t="s">
        <v>869</v>
      </c>
      <c r="B8" s="372" t="s">
        <v>871</v>
      </c>
      <c r="C8" s="363">
        <v>269.36</v>
      </c>
      <c r="D8" s="363">
        <f t="shared" ref="D7:D20" si="1">E8+F8</f>
        <v>1088.64</v>
      </c>
      <c r="E8" s="363">
        <v>1358</v>
      </c>
      <c r="F8" s="363">
        <v>-269.36</v>
      </c>
      <c r="G8" s="363">
        <f t="shared" ref="G7:G20" si="2">C8+D8</f>
        <v>1358</v>
      </c>
      <c r="H8" s="371" t="s">
        <v>872</v>
      </c>
    </row>
    <row r="9" s="351" customFormat="1" ht="26.25" customHeight="1" spans="1:8">
      <c r="A9" s="369" t="s">
        <v>869</v>
      </c>
      <c r="B9" s="372" t="s">
        <v>873</v>
      </c>
      <c r="C9" s="363"/>
      <c r="D9" s="363">
        <f t="shared" si="1"/>
        <v>622</v>
      </c>
      <c r="E9" s="363">
        <v>622</v>
      </c>
      <c r="F9" s="363"/>
      <c r="G9" s="363">
        <f t="shared" si="2"/>
        <v>622</v>
      </c>
      <c r="H9" s="371"/>
    </row>
    <row r="10" s="351" customFormat="1" ht="26.25" customHeight="1" spans="1:8">
      <c r="A10" s="369" t="s">
        <v>869</v>
      </c>
      <c r="B10" s="372" t="s">
        <v>874</v>
      </c>
      <c r="C10" s="363"/>
      <c r="D10" s="363">
        <f t="shared" si="1"/>
        <v>306.44</v>
      </c>
      <c r="E10" s="363">
        <v>308.44</v>
      </c>
      <c r="F10" s="363">
        <v>-2</v>
      </c>
      <c r="G10" s="363">
        <f t="shared" si="2"/>
        <v>306.44</v>
      </c>
      <c r="H10" s="371"/>
    </row>
    <row r="11" s="351" customFormat="1" ht="26.25" customHeight="1" spans="1:8">
      <c r="A11" s="369" t="s">
        <v>869</v>
      </c>
      <c r="B11" s="372" t="s">
        <v>875</v>
      </c>
      <c r="C11" s="363">
        <v>2927.19</v>
      </c>
      <c r="D11" s="363">
        <f t="shared" si="1"/>
        <v>9.74000000000001</v>
      </c>
      <c r="E11" s="363">
        <v>797.53</v>
      </c>
      <c r="F11" s="363">
        <v>-787.79</v>
      </c>
      <c r="G11" s="363">
        <f t="shared" si="2"/>
        <v>2936.93</v>
      </c>
      <c r="H11" s="371"/>
    </row>
    <row r="12" s="351" customFormat="1" ht="26.25" customHeight="1" spans="1:8">
      <c r="A12" s="369" t="s">
        <v>876</v>
      </c>
      <c r="B12" s="372" t="s">
        <v>877</v>
      </c>
      <c r="C12" s="363">
        <v>29.9</v>
      </c>
      <c r="D12" s="363">
        <f t="shared" si="1"/>
        <v>13.67</v>
      </c>
      <c r="E12" s="363">
        <v>13.67</v>
      </c>
      <c r="F12" s="363"/>
      <c r="G12" s="363">
        <f t="shared" si="2"/>
        <v>43.57</v>
      </c>
      <c r="H12" s="371" t="s">
        <v>878</v>
      </c>
    </row>
    <row r="13" s="351" customFormat="1" ht="26.25" customHeight="1" spans="1:8">
      <c r="A13" s="369" t="s">
        <v>879</v>
      </c>
      <c r="B13" s="372" t="s">
        <v>880</v>
      </c>
      <c r="C13" s="363">
        <v>30.9</v>
      </c>
      <c r="D13" s="363">
        <f t="shared" si="1"/>
        <v>14.86</v>
      </c>
      <c r="E13" s="363">
        <v>14.86</v>
      </c>
      <c r="F13" s="363"/>
      <c r="G13" s="363">
        <f t="shared" si="2"/>
        <v>45.76</v>
      </c>
      <c r="H13" s="371" t="s">
        <v>881</v>
      </c>
    </row>
    <row r="14" s="351" customFormat="1" ht="26.25" customHeight="1" spans="1:8">
      <c r="A14" s="369" t="s">
        <v>882</v>
      </c>
      <c r="B14" s="372" t="s">
        <v>883</v>
      </c>
      <c r="C14" s="363"/>
      <c r="D14" s="363">
        <f t="shared" si="1"/>
        <v>4.31</v>
      </c>
      <c r="E14" s="363">
        <v>4.31</v>
      </c>
      <c r="F14" s="363"/>
      <c r="G14" s="363">
        <f t="shared" si="2"/>
        <v>4.31</v>
      </c>
      <c r="H14" s="371"/>
    </row>
    <row r="15" s="351" customFormat="1" ht="26.25" customHeight="1" spans="1:8">
      <c r="A15" s="369" t="s">
        <v>884</v>
      </c>
      <c r="B15" s="372" t="s">
        <v>885</v>
      </c>
      <c r="C15" s="363">
        <v>5372</v>
      </c>
      <c r="D15" s="363">
        <f t="shared" si="1"/>
        <v>-3492.71</v>
      </c>
      <c r="E15" s="363"/>
      <c r="F15" s="373">
        <v>-3492.71</v>
      </c>
      <c r="G15" s="363">
        <f t="shared" si="2"/>
        <v>1879.29</v>
      </c>
      <c r="H15" s="371" t="s">
        <v>886</v>
      </c>
    </row>
    <row r="16" s="351" customFormat="1" ht="26.25" customHeight="1" spans="1:8">
      <c r="A16" s="369" t="s">
        <v>887</v>
      </c>
      <c r="B16" s="372" t="s">
        <v>888</v>
      </c>
      <c r="C16" s="363">
        <v>117.1</v>
      </c>
      <c r="D16" s="363">
        <f t="shared" si="1"/>
        <v>-16.38</v>
      </c>
      <c r="E16" s="363"/>
      <c r="F16" s="363">
        <v>-16.38</v>
      </c>
      <c r="G16" s="363">
        <f t="shared" si="2"/>
        <v>100.72</v>
      </c>
      <c r="H16" s="374"/>
    </row>
    <row r="17" s="351" customFormat="1" ht="26.25" customHeight="1" spans="1:8">
      <c r="A17" s="369"/>
      <c r="B17" s="372" t="s">
        <v>889</v>
      </c>
      <c r="C17" s="363">
        <v>1900</v>
      </c>
      <c r="D17" s="363">
        <f t="shared" si="1"/>
        <v>-643</v>
      </c>
      <c r="E17" s="363"/>
      <c r="F17" s="373">
        <f>-313-330</f>
        <v>-643</v>
      </c>
      <c r="G17" s="363">
        <f t="shared" si="2"/>
        <v>1257</v>
      </c>
      <c r="H17" s="374" t="s">
        <v>890</v>
      </c>
    </row>
    <row r="18" s="351" customFormat="1" ht="26.25" customHeight="1" spans="1:8">
      <c r="A18" s="369"/>
      <c r="B18" s="372" t="s">
        <v>891</v>
      </c>
      <c r="C18" s="363">
        <v>600</v>
      </c>
      <c r="D18" s="363">
        <f t="shared" si="1"/>
        <v>-600</v>
      </c>
      <c r="E18" s="363"/>
      <c r="F18" s="375">
        <v>-600</v>
      </c>
      <c r="G18" s="363">
        <f t="shared" si="2"/>
        <v>0</v>
      </c>
      <c r="H18" s="374"/>
    </row>
    <row r="19" s="351" customFormat="1" ht="26.25" customHeight="1" spans="1:8">
      <c r="A19" s="369"/>
      <c r="B19" s="372" t="s">
        <v>892</v>
      </c>
      <c r="C19" s="363">
        <v>1000</v>
      </c>
      <c r="D19" s="363">
        <f t="shared" si="1"/>
        <v>-1000</v>
      </c>
      <c r="E19" s="363"/>
      <c r="F19" s="375">
        <v>-1000</v>
      </c>
      <c r="G19" s="363">
        <f t="shared" si="2"/>
        <v>0</v>
      </c>
      <c r="H19" s="374"/>
    </row>
    <row r="20" s="351" customFormat="1" ht="26.25" customHeight="1" spans="1:8">
      <c r="A20" s="369"/>
      <c r="B20" s="372" t="s">
        <v>893</v>
      </c>
      <c r="C20" s="363">
        <v>660</v>
      </c>
      <c r="D20" s="363">
        <f t="shared" si="1"/>
        <v>-158</v>
      </c>
      <c r="E20" s="363"/>
      <c r="F20" s="376">
        <v>-158</v>
      </c>
      <c r="G20" s="363">
        <f t="shared" si="2"/>
        <v>502</v>
      </c>
      <c r="H20" s="374"/>
    </row>
    <row r="21" s="352" customFormat="1" ht="26.25" customHeight="1" spans="1:8">
      <c r="A21" s="365"/>
      <c r="B21" s="366" t="s">
        <v>9</v>
      </c>
      <c r="C21" s="367">
        <f>SUM(C22:C184)</f>
        <v>172510.8207</v>
      </c>
      <c r="D21" s="367">
        <f>SUM(D22:D184)</f>
        <v>104575.714379</v>
      </c>
      <c r="E21" s="367">
        <f>SUM(E22:E184)</f>
        <v>157726.099605</v>
      </c>
      <c r="F21" s="367">
        <f>SUM(F22:F184)</f>
        <v>-53150.385226</v>
      </c>
      <c r="G21" s="367">
        <f>SUM(G22:G184)</f>
        <v>277086.535079</v>
      </c>
      <c r="H21" s="368"/>
    </row>
    <row r="22" s="353" customFormat="1" ht="26.25" customHeight="1" spans="1:8">
      <c r="A22" s="369" t="s">
        <v>869</v>
      </c>
      <c r="B22" s="377" t="s">
        <v>385</v>
      </c>
      <c r="C22" s="363">
        <f>'基本支出总表（开）'!F6</f>
        <v>42933.70428</v>
      </c>
      <c r="D22" s="363">
        <f t="shared" ref="D22:D30" si="3">E22+F22</f>
        <v>-171.724726</v>
      </c>
      <c r="E22" s="363">
        <f>'基本支出总表（开）'!J6</f>
        <v>1185.17</v>
      </c>
      <c r="F22" s="363">
        <f>-'基本支出总表（开）'!L6</f>
        <v>-1356.894726</v>
      </c>
      <c r="G22" s="363">
        <f t="shared" ref="G22:G30" si="4">C22+D22</f>
        <v>42761.979554</v>
      </c>
      <c r="H22" s="371"/>
    </row>
    <row r="23" s="351" customFormat="1" ht="26.25" customHeight="1" spans="1:8">
      <c r="A23" s="369" t="s">
        <v>869</v>
      </c>
      <c r="B23" s="378" t="s">
        <v>871</v>
      </c>
      <c r="C23" s="363">
        <v>10500.97</v>
      </c>
      <c r="D23" s="363">
        <f t="shared" si="3"/>
        <v>7405.7</v>
      </c>
      <c r="E23" s="363">
        <v>17906.67</v>
      </c>
      <c r="F23" s="363">
        <v>-10500.97</v>
      </c>
      <c r="G23" s="363">
        <f t="shared" si="4"/>
        <v>17906.67</v>
      </c>
      <c r="H23" s="371" t="s">
        <v>872</v>
      </c>
    </row>
    <row r="24" s="351" customFormat="1" ht="26.25" customHeight="1" spans="1:8">
      <c r="A24" s="369" t="s">
        <v>869</v>
      </c>
      <c r="B24" s="378" t="s">
        <v>873</v>
      </c>
      <c r="C24" s="363"/>
      <c r="D24" s="363">
        <f t="shared" si="3"/>
        <v>92895</v>
      </c>
      <c r="E24" s="363">
        <f>1400+91495</f>
        <v>92895</v>
      </c>
      <c r="F24" s="363"/>
      <c r="G24" s="363">
        <f t="shared" si="4"/>
        <v>92895</v>
      </c>
      <c r="H24" s="371"/>
    </row>
    <row r="25" s="351" customFormat="1" ht="26.25" customHeight="1" spans="1:8">
      <c r="A25" s="369" t="s">
        <v>869</v>
      </c>
      <c r="B25" s="378" t="s">
        <v>874</v>
      </c>
      <c r="C25" s="363"/>
      <c r="D25" s="363">
        <f t="shared" si="3"/>
        <v>20568.33</v>
      </c>
      <c r="E25" s="363">
        <v>20568.33</v>
      </c>
      <c r="F25" s="363"/>
      <c r="G25" s="363">
        <f t="shared" si="4"/>
        <v>20568.33</v>
      </c>
      <c r="H25" s="371"/>
    </row>
    <row r="26" s="351" customFormat="1" ht="26.25" customHeight="1" spans="1:8">
      <c r="A26" s="369" t="s">
        <v>869</v>
      </c>
      <c r="B26" s="378" t="s">
        <v>875</v>
      </c>
      <c r="C26" s="363">
        <v>29084</v>
      </c>
      <c r="D26" s="363">
        <f t="shared" si="3"/>
        <v>-9.73999999999978</v>
      </c>
      <c r="E26" s="363">
        <f>3301.3+3300</f>
        <v>6601.3</v>
      </c>
      <c r="F26" s="363">
        <f>-3311.04-3300</f>
        <v>-6611.04</v>
      </c>
      <c r="G26" s="363">
        <f t="shared" si="4"/>
        <v>29074.26</v>
      </c>
      <c r="H26" s="371"/>
    </row>
    <row r="27" s="351" customFormat="1" ht="26.25" customHeight="1" spans="1:8">
      <c r="A27" s="369" t="s">
        <v>894</v>
      </c>
      <c r="B27" s="378" t="s">
        <v>895</v>
      </c>
      <c r="C27" s="363">
        <v>104</v>
      </c>
      <c r="D27" s="363">
        <f t="shared" si="3"/>
        <v>4.14</v>
      </c>
      <c r="E27" s="363">
        <v>4.14</v>
      </c>
      <c r="F27" s="363"/>
      <c r="G27" s="363">
        <f t="shared" si="4"/>
        <v>108.14</v>
      </c>
      <c r="H27" s="374"/>
    </row>
    <row r="28" s="351" customFormat="1" ht="26.25" customHeight="1" spans="1:8">
      <c r="A28" s="369" t="s">
        <v>894</v>
      </c>
      <c r="B28" s="378" t="s">
        <v>896</v>
      </c>
      <c r="C28" s="363">
        <v>0</v>
      </c>
      <c r="D28" s="363">
        <f t="shared" si="3"/>
        <v>27.5</v>
      </c>
      <c r="E28" s="363">
        <v>27.5</v>
      </c>
      <c r="F28" s="363"/>
      <c r="G28" s="363">
        <f t="shared" si="4"/>
        <v>27.5</v>
      </c>
      <c r="H28" s="374"/>
    </row>
    <row r="29" s="351" customFormat="1" ht="26.25" customHeight="1" spans="1:8">
      <c r="A29" s="369" t="s">
        <v>894</v>
      </c>
      <c r="B29" s="378" t="s">
        <v>897</v>
      </c>
      <c r="C29" s="363"/>
      <c r="D29" s="363">
        <f t="shared" si="3"/>
        <v>39.4198</v>
      </c>
      <c r="E29" s="363">
        <v>39.4198</v>
      </c>
      <c r="F29" s="363"/>
      <c r="G29" s="363">
        <f t="shared" si="4"/>
        <v>39.4198</v>
      </c>
      <c r="H29" s="374" t="s">
        <v>898</v>
      </c>
    </row>
    <row r="30" s="351" customFormat="1" ht="26.25" customHeight="1" spans="1:8">
      <c r="A30" s="369" t="s">
        <v>894</v>
      </c>
      <c r="B30" s="378" t="s">
        <v>899</v>
      </c>
      <c r="C30" s="363"/>
      <c r="D30" s="363">
        <f t="shared" si="3"/>
        <v>26.6</v>
      </c>
      <c r="E30" s="363">
        <v>26.6</v>
      </c>
      <c r="F30" s="363"/>
      <c r="G30" s="363">
        <f t="shared" si="4"/>
        <v>26.6</v>
      </c>
      <c r="H30" s="374" t="s">
        <v>900</v>
      </c>
    </row>
    <row r="31" s="351" customFormat="1" ht="26.25" customHeight="1" spans="1:8">
      <c r="A31" s="369" t="s">
        <v>894</v>
      </c>
      <c r="B31" s="378" t="s">
        <v>901</v>
      </c>
      <c r="C31" s="363">
        <v>4</v>
      </c>
      <c r="D31" s="363">
        <f t="shared" ref="D31:D55" si="5">E31+F31</f>
        <v>-4</v>
      </c>
      <c r="E31" s="363"/>
      <c r="F31" s="363">
        <v>-4</v>
      </c>
      <c r="G31" s="363">
        <f t="shared" ref="G31:G55" si="6">C31+D31</f>
        <v>0</v>
      </c>
      <c r="H31" s="374"/>
    </row>
    <row r="32" s="351" customFormat="1" ht="26.25" customHeight="1" spans="1:8">
      <c r="A32" s="369" t="s">
        <v>902</v>
      </c>
      <c r="B32" s="378" t="s">
        <v>903</v>
      </c>
      <c r="C32" s="363">
        <v>40</v>
      </c>
      <c r="D32" s="363">
        <f t="shared" si="5"/>
        <v>-6</v>
      </c>
      <c r="E32" s="363"/>
      <c r="F32" s="363">
        <v>-6</v>
      </c>
      <c r="G32" s="363">
        <f t="shared" si="6"/>
        <v>34</v>
      </c>
      <c r="H32" s="374"/>
    </row>
    <row r="33" s="351" customFormat="1" ht="26.25" customHeight="1" spans="1:8">
      <c r="A33" s="369" t="s">
        <v>902</v>
      </c>
      <c r="B33" s="378" t="s">
        <v>904</v>
      </c>
      <c r="C33" s="363">
        <v>32.4</v>
      </c>
      <c r="D33" s="363">
        <f t="shared" si="5"/>
        <v>-12.06</v>
      </c>
      <c r="E33" s="363"/>
      <c r="F33" s="363">
        <v>-12.06</v>
      </c>
      <c r="G33" s="363">
        <f t="shared" si="6"/>
        <v>20.34</v>
      </c>
      <c r="H33" s="374"/>
    </row>
    <row r="34" s="351" customFormat="1" ht="26.25" customHeight="1" spans="1:8">
      <c r="A34" s="369" t="s">
        <v>902</v>
      </c>
      <c r="B34" s="378" t="s">
        <v>905</v>
      </c>
      <c r="C34" s="363">
        <v>430</v>
      </c>
      <c r="D34" s="363">
        <f t="shared" si="5"/>
        <v>-20</v>
      </c>
      <c r="E34" s="363"/>
      <c r="F34" s="363">
        <v>-20</v>
      </c>
      <c r="G34" s="363">
        <f t="shared" si="6"/>
        <v>410</v>
      </c>
      <c r="H34" s="374"/>
    </row>
    <row r="35" s="351" customFormat="1" ht="26.25" customHeight="1" spans="1:8">
      <c r="A35" s="369" t="s">
        <v>902</v>
      </c>
      <c r="B35" s="378" t="s">
        <v>906</v>
      </c>
      <c r="C35" s="363">
        <v>20</v>
      </c>
      <c r="D35" s="363">
        <f t="shared" si="5"/>
        <v>-7</v>
      </c>
      <c r="E35" s="363"/>
      <c r="F35" s="363">
        <v>-7</v>
      </c>
      <c r="G35" s="363">
        <f t="shared" si="6"/>
        <v>13</v>
      </c>
      <c r="H35" s="374"/>
    </row>
    <row r="36" s="351" customFormat="1" ht="26.25" customHeight="1" spans="1:8">
      <c r="A36" s="369" t="s">
        <v>902</v>
      </c>
      <c r="B36" s="378" t="s">
        <v>907</v>
      </c>
      <c r="C36" s="363">
        <v>15</v>
      </c>
      <c r="D36" s="363">
        <f t="shared" si="5"/>
        <v>-15</v>
      </c>
      <c r="E36" s="363"/>
      <c r="F36" s="363">
        <v>-15</v>
      </c>
      <c r="G36" s="363">
        <f t="shared" si="6"/>
        <v>0</v>
      </c>
      <c r="H36" s="374"/>
    </row>
    <row r="37" s="351" customFormat="1" ht="26.25" customHeight="1" spans="1:8">
      <c r="A37" s="369" t="s">
        <v>902</v>
      </c>
      <c r="B37" s="378" t="s">
        <v>908</v>
      </c>
      <c r="C37" s="363">
        <v>70</v>
      </c>
      <c r="D37" s="363">
        <f t="shared" si="5"/>
        <v>-9.98</v>
      </c>
      <c r="E37" s="363"/>
      <c r="F37" s="363">
        <v>-9.98</v>
      </c>
      <c r="G37" s="363">
        <f t="shared" si="6"/>
        <v>60.02</v>
      </c>
      <c r="H37" s="374"/>
    </row>
    <row r="38" s="351" customFormat="1" ht="26.25" customHeight="1" spans="1:8">
      <c r="A38" s="369" t="s">
        <v>902</v>
      </c>
      <c r="B38" s="378" t="s">
        <v>909</v>
      </c>
      <c r="C38" s="363">
        <v>120</v>
      </c>
      <c r="D38" s="363">
        <f t="shared" si="5"/>
        <v>-10.1</v>
      </c>
      <c r="E38" s="363"/>
      <c r="F38" s="363">
        <v>-10.1</v>
      </c>
      <c r="G38" s="363">
        <f t="shared" si="6"/>
        <v>109.9</v>
      </c>
      <c r="H38" s="374" t="s">
        <v>910</v>
      </c>
    </row>
    <row r="39" s="351" customFormat="1" ht="26.25" customHeight="1" spans="1:8">
      <c r="A39" s="369" t="s">
        <v>911</v>
      </c>
      <c r="B39" s="378" t="s">
        <v>912</v>
      </c>
      <c r="C39" s="363">
        <v>18</v>
      </c>
      <c r="D39" s="363">
        <f t="shared" si="5"/>
        <v>-14.56</v>
      </c>
      <c r="E39" s="363"/>
      <c r="F39" s="363">
        <v>-14.56</v>
      </c>
      <c r="G39" s="363">
        <f t="shared" si="6"/>
        <v>3.44</v>
      </c>
      <c r="H39" s="374"/>
    </row>
    <row r="40" s="351" customFormat="1" ht="26.25" customHeight="1" spans="1:8">
      <c r="A40" s="369" t="s">
        <v>911</v>
      </c>
      <c r="B40" s="378" t="s">
        <v>913</v>
      </c>
      <c r="C40" s="363">
        <v>450</v>
      </c>
      <c r="D40" s="363">
        <f t="shared" si="5"/>
        <v>-165</v>
      </c>
      <c r="E40" s="363"/>
      <c r="F40" s="373">
        <v>-165</v>
      </c>
      <c r="G40" s="363">
        <f t="shared" si="6"/>
        <v>285</v>
      </c>
      <c r="H40" s="374" t="s">
        <v>914</v>
      </c>
    </row>
    <row r="41" s="351" customFormat="1" ht="26.25" customHeight="1" spans="1:8">
      <c r="A41" s="369" t="s">
        <v>915</v>
      </c>
      <c r="B41" s="378" t="s">
        <v>916</v>
      </c>
      <c r="C41" s="363">
        <v>62</v>
      </c>
      <c r="D41" s="363">
        <f t="shared" si="5"/>
        <v>50</v>
      </c>
      <c r="E41" s="363">
        <v>50</v>
      </c>
      <c r="F41" s="363"/>
      <c r="G41" s="363">
        <f t="shared" si="6"/>
        <v>112</v>
      </c>
      <c r="H41" s="374" t="s">
        <v>917</v>
      </c>
    </row>
    <row r="42" s="351" customFormat="1" ht="26.25" customHeight="1" spans="1:8">
      <c r="A42" s="369" t="s">
        <v>915</v>
      </c>
      <c r="B42" s="378" t="s">
        <v>918</v>
      </c>
      <c r="C42" s="363">
        <v>23</v>
      </c>
      <c r="D42" s="363">
        <f t="shared" si="5"/>
        <v>7</v>
      </c>
      <c r="E42" s="363">
        <v>7</v>
      </c>
      <c r="F42" s="363"/>
      <c r="G42" s="363">
        <f t="shared" si="6"/>
        <v>30</v>
      </c>
      <c r="H42" s="374"/>
    </row>
    <row r="43" s="351" customFormat="1" ht="26.25" customHeight="1" spans="1:8">
      <c r="A43" s="369" t="s">
        <v>915</v>
      </c>
      <c r="B43" s="378" t="s">
        <v>919</v>
      </c>
      <c r="C43" s="363">
        <v>0</v>
      </c>
      <c r="D43" s="363">
        <f t="shared" si="5"/>
        <v>20</v>
      </c>
      <c r="E43" s="363">
        <v>20</v>
      </c>
      <c r="F43" s="363"/>
      <c r="G43" s="363">
        <f t="shared" si="6"/>
        <v>20</v>
      </c>
      <c r="H43" s="374" t="s">
        <v>920</v>
      </c>
    </row>
    <row r="44" s="351" customFormat="1" ht="26.25" customHeight="1" spans="1:8">
      <c r="A44" s="369" t="s">
        <v>915</v>
      </c>
      <c r="B44" s="378" t="s">
        <v>921</v>
      </c>
      <c r="C44" s="363">
        <v>495</v>
      </c>
      <c r="D44" s="363">
        <f t="shared" si="5"/>
        <v>-100</v>
      </c>
      <c r="E44" s="363"/>
      <c r="F44" s="373">
        <v>-100</v>
      </c>
      <c r="G44" s="363">
        <f t="shared" si="6"/>
        <v>395</v>
      </c>
      <c r="H44" s="374"/>
    </row>
    <row r="45" s="351" customFormat="1" ht="26.25" customHeight="1" spans="1:8">
      <c r="A45" s="369" t="s">
        <v>915</v>
      </c>
      <c r="B45" s="378" t="s">
        <v>922</v>
      </c>
      <c r="C45" s="363">
        <v>100</v>
      </c>
      <c r="D45" s="363">
        <f t="shared" si="5"/>
        <v>-6.43</v>
      </c>
      <c r="E45" s="363"/>
      <c r="F45" s="363">
        <v>-6.43</v>
      </c>
      <c r="G45" s="363">
        <f t="shared" si="6"/>
        <v>93.57</v>
      </c>
      <c r="H45" s="374"/>
    </row>
    <row r="46" s="351" customFormat="1" ht="26.25" customHeight="1" spans="1:8">
      <c r="A46" s="369" t="s">
        <v>915</v>
      </c>
      <c r="B46" s="378" t="s">
        <v>923</v>
      </c>
      <c r="C46" s="363">
        <v>20.88</v>
      </c>
      <c r="D46" s="363">
        <f t="shared" si="5"/>
        <v>-5.1</v>
      </c>
      <c r="E46" s="363"/>
      <c r="F46" s="363">
        <v>-5.1</v>
      </c>
      <c r="G46" s="363">
        <f t="shared" si="6"/>
        <v>15.78</v>
      </c>
      <c r="H46" s="374"/>
    </row>
    <row r="47" s="351" customFormat="1" ht="26.25" customHeight="1" spans="1:8">
      <c r="A47" s="369" t="s">
        <v>915</v>
      </c>
      <c r="B47" s="378" t="s">
        <v>924</v>
      </c>
      <c r="C47" s="363">
        <v>346.15</v>
      </c>
      <c r="D47" s="363">
        <f t="shared" si="5"/>
        <v>-176.15</v>
      </c>
      <c r="E47" s="363"/>
      <c r="F47" s="373">
        <f>-146.15-30</f>
        <v>-176.15</v>
      </c>
      <c r="G47" s="363">
        <f t="shared" si="6"/>
        <v>170</v>
      </c>
      <c r="H47" s="374"/>
    </row>
    <row r="48" s="351" customFormat="1" ht="26.25" customHeight="1" spans="1:8">
      <c r="A48" s="369" t="s">
        <v>925</v>
      </c>
      <c r="B48" s="378" t="s">
        <v>926</v>
      </c>
      <c r="C48" s="363">
        <v>10</v>
      </c>
      <c r="D48" s="363">
        <f t="shared" si="5"/>
        <v>-5.9</v>
      </c>
      <c r="E48" s="363"/>
      <c r="F48" s="363">
        <v>-5.9</v>
      </c>
      <c r="G48" s="363">
        <f t="shared" si="6"/>
        <v>4.1</v>
      </c>
      <c r="H48" s="374"/>
    </row>
    <row r="49" s="351" customFormat="1" ht="26.25" customHeight="1" spans="1:8">
      <c r="A49" s="369" t="s">
        <v>925</v>
      </c>
      <c r="B49" s="378" t="s">
        <v>927</v>
      </c>
      <c r="C49" s="363">
        <v>6</v>
      </c>
      <c r="D49" s="363">
        <f t="shared" si="5"/>
        <v>-2.4</v>
      </c>
      <c r="E49" s="363"/>
      <c r="F49" s="363">
        <v>-2.4</v>
      </c>
      <c r="G49" s="363">
        <f t="shared" si="6"/>
        <v>3.6</v>
      </c>
      <c r="H49" s="374"/>
    </row>
    <row r="50" s="351" customFormat="1" ht="26.25" customHeight="1" spans="1:8">
      <c r="A50" s="369" t="s">
        <v>928</v>
      </c>
      <c r="B50" s="378" t="s">
        <v>929</v>
      </c>
      <c r="C50" s="363">
        <v>100</v>
      </c>
      <c r="D50" s="363">
        <f t="shared" si="5"/>
        <v>-8.1</v>
      </c>
      <c r="E50" s="363"/>
      <c r="F50" s="363">
        <v>-8.1</v>
      </c>
      <c r="G50" s="363">
        <f t="shared" si="6"/>
        <v>91.9</v>
      </c>
      <c r="H50" s="374"/>
    </row>
    <row r="51" s="351" customFormat="1" ht="26.25" customHeight="1" spans="1:8">
      <c r="A51" s="369" t="s">
        <v>930</v>
      </c>
      <c r="B51" s="378" t="s">
        <v>931</v>
      </c>
      <c r="C51" s="363">
        <v>4.5</v>
      </c>
      <c r="D51" s="363">
        <f t="shared" si="5"/>
        <v>-0.73</v>
      </c>
      <c r="E51" s="363"/>
      <c r="F51" s="363">
        <v>-0.73</v>
      </c>
      <c r="G51" s="363">
        <f t="shared" si="6"/>
        <v>3.77</v>
      </c>
      <c r="H51" s="374"/>
    </row>
    <row r="52" s="351" customFormat="1" ht="26.25" customHeight="1" spans="1:8">
      <c r="A52" s="369" t="s">
        <v>930</v>
      </c>
      <c r="B52" s="378" t="s">
        <v>932</v>
      </c>
      <c r="C52" s="363">
        <v>57</v>
      </c>
      <c r="D52" s="363">
        <f t="shared" si="5"/>
        <v>-15</v>
      </c>
      <c r="E52" s="363"/>
      <c r="F52" s="363">
        <v>-15</v>
      </c>
      <c r="G52" s="363">
        <f t="shared" si="6"/>
        <v>42</v>
      </c>
      <c r="H52" s="374"/>
    </row>
    <row r="53" s="351" customFormat="1" ht="26.25" customHeight="1" spans="1:8">
      <c r="A53" s="369" t="s">
        <v>930</v>
      </c>
      <c r="B53" s="378" t="s">
        <v>933</v>
      </c>
      <c r="C53" s="363">
        <v>2</v>
      </c>
      <c r="D53" s="363">
        <f t="shared" si="5"/>
        <v>-0.7225</v>
      </c>
      <c r="E53" s="363"/>
      <c r="F53" s="363">
        <v>-0.7225</v>
      </c>
      <c r="G53" s="363">
        <f t="shared" si="6"/>
        <v>1.2775</v>
      </c>
      <c r="H53" s="374"/>
    </row>
    <row r="54" s="351" customFormat="1" ht="26.25" customHeight="1" spans="1:8">
      <c r="A54" s="369" t="s">
        <v>934</v>
      </c>
      <c r="B54" s="378" t="s">
        <v>935</v>
      </c>
      <c r="C54" s="363">
        <v>100</v>
      </c>
      <c r="D54" s="363">
        <f t="shared" si="5"/>
        <v>-10</v>
      </c>
      <c r="E54" s="363"/>
      <c r="F54" s="363">
        <v>-10</v>
      </c>
      <c r="G54" s="363">
        <f t="shared" si="6"/>
        <v>90</v>
      </c>
      <c r="H54" s="374"/>
    </row>
    <row r="55" s="351" customFormat="1" ht="26.25" customHeight="1" spans="1:8">
      <c r="A55" s="369" t="s">
        <v>936</v>
      </c>
      <c r="B55" s="378" t="s">
        <v>937</v>
      </c>
      <c r="C55" s="363">
        <v>5</v>
      </c>
      <c r="D55" s="363">
        <f t="shared" si="5"/>
        <v>10</v>
      </c>
      <c r="E55" s="363">
        <v>10</v>
      </c>
      <c r="F55" s="363"/>
      <c r="G55" s="363">
        <f t="shared" si="6"/>
        <v>15</v>
      </c>
      <c r="H55" s="374" t="s">
        <v>938</v>
      </c>
    </row>
    <row r="56" s="351" customFormat="1" ht="26.25" customHeight="1" spans="1:8">
      <c r="A56" s="369" t="s">
        <v>936</v>
      </c>
      <c r="B56" s="378" t="s">
        <v>939</v>
      </c>
      <c r="C56" s="363">
        <v>30</v>
      </c>
      <c r="D56" s="363">
        <f t="shared" ref="D56:D87" si="7">E56+F56</f>
        <v>2</v>
      </c>
      <c r="E56" s="363">
        <v>2</v>
      </c>
      <c r="F56" s="363"/>
      <c r="G56" s="363">
        <f t="shared" ref="G56:G87" si="8">C56+D56</f>
        <v>32</v>
      </c>
      <c r="H56" s="374"/>
    </row>
    <row r="57" s="351" customFormat="1" ht="26.25" customHeight="1" spans="1:8">
      <c r="A57" s="369" t="s">
        <v>940</v>
      </c>
      <c r="B57" s="378" t="s">
        <v>941</v>
      </c>
      <c r="C57" s="363">
        <v>800</v>
      </c>
      <c r="D57" s="363">
        <f t="shared" si="7"/>
        <v>-310</v>
      </c>
      <c r="E57" s="363"/>
      <c r="F57" s="373">
        <f>-280-30</f>
        <v>-310</v>
      </c>
      <c r="G57" s="363">
        <f t="shared" si="8"/>
        <v>490</v>
      </c>
      <c r="H57" s="374" t="s">
        <v>942</v>
      </c>
    </row>
    <row r="58" s="351" customFormat="1" ht="26.25" customHeight="1" spans="1:8">
      <c r="A58" s="369" t="s">
        <v>943</v>
      </c>
      <c r="B58" s="378" t="s">
        <v>944</v>
      </c>
      <c r="C58" s="363">
        <v>20</v>
      </c>
      <c r="D58" s="363">
        <f t="shared" si="7"/>
        <v>-8</v>
      </c>
      <c r="E58" s="363"/>
      <c r="F58" s="363">
        <v>-8</v>
      </c>
      <c r="G58" s="363">
        <f t="shared" si="8"/>
        <v>12</v>
      </c>
      <c r="H58" s="374"/>
    </row>
    <row r="59" s="351" customFormat="1" ht="26.25" customHeight="1" spans="1:8">
      <c r="A59" s="369" t="s">
        <v>945</v>
      </c>
      <c r="B59" s="378" t="s">
        <v>946</v>
      </c>
      <c r="C59" s="363">
        <v>1.8</v>
      </c>
      <c r="D59" s="363">
        <f t="shared" si="7"/>
        <v>-0.54</v>
      </c>
      <c r="E59" s="363"/>
      <c r="F59" s="363">
        <v>-0.54</v>
      </c>
      <c r="G59" s="363">
        <f t="shared" si="8"/>
        <v>1.26</v>
      </c>
      <c r="H59" s="374"/>
    </row>
    <row r="60" s="351" customFormat="1" ht="26.25" customHeight="1" spans="1:8">
      <c r="A60" s="369" t="s">
        <v>947</v>
      </c>
      <c r="B60" s="378" t="s">
        <v>948</v>
      </c>
      <c r="C60" s="363">
        <v>0</v>
      </c>
      <c r="D60" s="363">
        <f t="shared" si="7"/>
        <v>18</v>
      </c>
      <c r="E60" s="363">
        <v>18</v>
      </c>
      <c r="F60" s="363"/>
      <c r="G60" s="363">
        <f t="shared" si="8"/>
        <v>18</v>
      </c>
      <c r="H60" s="374"/>
    </row>
    <row r="61" s="351" customFormat="1" ht="26.25" customHeight="1" spans="1:8">
      <c r="A61" s="369" t="s">
        <v>947</v>
      </c>
      <c r="B61" s="378" t="s">
        <v>949</v>
      </c>
      <c r="C61" s="363">
        <v>157</v>
      </c>
      <c r="D61" s="363">
        <f t="shared" si="7"/>
        <v>-120</v>
      </c>
      <c r="E61" s="363"/>
      <c r="F61" s="373">
        <f>-90-30</f>
        <v>-120</v>
      </c>
      <c r="G61" s="363">
        <f t="shared" si="8"/>
        <v>37</v>
      </c>
      <c r="H61" s="374"/>
    </row>
    <row r="62" s="351" customFormat="1" ht="26.25" customHeight="1" spans="1:8">
      <c r="A62" s="369" t="s">
        <v>947</v>
      </c>
      <c r="B62" s="378" t="s">
        <v>950</v>
      </c>
      <c r="C62" s="363">
        <v>20000</v>
      </c>
      <c r="D62" s="363">
        <f t="shared" si="7"/>
        <v>-9600</v>
      </c>
      <c r="E62" s="363"/>
      <c r="F62" s="363">
        <v>-9600</v>
      </c>
      <c r="G62" s="363">
        <f t="shared" si="8"/>
        <v>10400</v>
      </c>
      <c r="H62" s="374"/>
    </row>
    <row r="63" s="351" customFormat="1" ht="26.25" customHeight="1" spans="1:8">
      <c r="A63" s="369" t="s">
        <v>951</v>
      </c>
      <c r="B63" s="378" t="s">
        <v>952</v>
      </c>
      <c r="C63" s="363">
        <v>382</v>
      </c>
      <c r="D63" s="363">
        <f t="shared" si="7"/>
        <v>-18</v>
      </c>
      <c r="E63" s="363"/>
      <c r="F63" s="363">
        <v>-18</v>
      </c>
      <c r="G63" s="363">
        <f t="shared" si="8"/>
        <v>364</v>
      </c>
      <c r="H63" s="374"/>
    </row>
    <row r="64" s="351" customFormat="1" ht="26.25" customHeight="1" spans="1:8">
      <c r="A64" s="369" t="s">
        <v>953</v>
      </c>
      <c r="B64" s="378" t="s">
        <v>954</v>
      </c>
      <c r="C64" s="363">
        <v>20</v>
      </c>
      <c r="D64" s="363">
        <f t="shared" si="7"/>
        <v>-3.5</v>
      </c>
      <c r="E64" s="363"/>
      <c r="F64" s="363">
        <v>-3.5</v>
      </c>
      <c r="G64" s="363">
        <f t="shared" si="8"/>
        <v>16.5</v>
      </c>
      <c r="H64" s="374"/>
    </row>
    <row r="65" s="351" customFormat="1" ht="26.25" customHeight="1" spans="1:8">
      <c r="A65" s="369" t="s">
        <v>955</v>
      </c>
      <c r="B65" s="378" t="s">
        <v>956</v>
      </c>
      <c r="C65" s="363">
        <v>0</v>
      </c>
      <c r="D65" s="363">
        <f t="shared" si="7"/>
        <v>4.229</v>
      </c>
      <c r="E65" s="363">
        <v>4.229</v>
      </c>
      <c r="F65" s="363"/>
      <c r="G65" s="363">
        <f t="shared" si="8"/>
        <v>4.229</v>
      </c>
      <c r="H65" s="374"/>
    </row>
    <row r="66" s="351" customFormat="1" ht="26.25" customHeight="1" spans="1:8">
      <c r="A66" s="369" t="s">
        <v>955</v>
      </c>
      <c r="B66" s="378" t="s">
        <v>957</v>
      </c>
      <c r="C66" s="363">
        <v>55.17</v>
      </c>
      <c r="D66" s="363">
        <f t="shared" si="7"/>
        <v>139.1</v>
      </c>
      <c r="E66" s="363">
        <v>139.1</v>
      </c>
      <c r="F66" s="363"/>
      <c r="G66" s="363">
        <f t="shared" si="8"/>
        <v>194.27</v>
      </c>
      <c r="H66" s="374" t="s">
        <v>958</v>
      </c>
    </row>
    <row r="67" s="351" customFormat="1" ht="26.25" customHeight="1" spans="1:8">
      <c r="A67" s="369" t="s">
        <v>955</v>
      </c>
      <c r="B67" s="378" t="s">
        <v>959</v>
      </c>
      <c r="C67" s="363">
        <v>55</v>
      </c>
      <c r="D67" s="363">
        <f t="shared" si="7"/>
        <v>-55</v>
      </c>
      <c r="E67" s="363"/>
      <c r="F67" s="363">
        <v>-55</v>
      </c>
      <c r="G67" s="363">
        <f t="shared" si="8"/>
        <v>0</v>
      </c>
      <c r="H67" s="374" t="s">
        <v>960</v>
      </c>
    </row>
    <row r="68" s="351" customFormat="1" ht="26.25" customHeight="1" spans="1:8">
      <c r="A68" s="369" t="s">
        <v>955</v>
      </c>
      <c r="B68" s="378" t="s">
        <v>961</v>
      </c>
      <c r="C68" s="363">
        <v>3.3</v>
      </c>
      <c r="D68" s="363">
        <f t="shared" si="7"/>
        <v>-3.3</v>
      </c>
      <c r="E68" s="363"/>
      <c r="F68" s="363">
        <v>-3.3</v>
      </c>
      <c r="G68" s="363">
        <f t="shared" si="8"/>
        <v>0</v>
      </c>
      <c r="H68" s="374"/>
    </row>
    <row r="69" s="351" customFormat="1" ht="26.25" customHeight="1" spans="1:8">
      <c r="A69" s="369" t="s">
        <v>955</v>
      </c>
      <c r="B69" s="378" t="s">
        <v>962</v>
      </c>
      <c r="C69" s="363">
        <v>24</v>
      </c>
      <c r="D69" s="363">
        <f t="shared" si="7"/>
        <v>-14</v>
      </c>
      <c r="E69" s="363"/>
      <c r="F69" s="363">
        <f>-7.2-6.8</f>
        <v>-14</v>
      </c>
      <c r="G69" s="363">
        <f t="shared" si="8"/>
        <v>10</v>
      </c>
      <c r="H69" s="374"/>
    </row>
    <row r="70" s="351" customFormat="1" ht="26.25" customHeight="1" spans="1:8">
      <c r="A70" s="369" t="s">
        <v>955</v>
      </c>
      <c r="B70" s="378" t="s">
        <v>963</v>
      </c>
      <c r="C70" s="363">
        <v>350</v>
      </c>
      <c r="D70" s="363">
        <f t="shared" si="7"/>
        <v>-105</v>
      </c>
      <c r="E70" s="363"/>
      <c r="F70" s="373">
        <v>-105</v>
      </c>
      <c r="G70" s="363">
        <f t="shared" si="8"/>
        <v>245</v>
      </c>
      <c r="H70" s="374"/>
    </row>
    <row r="71" s="351" customFormat="1" ht="26.25" customHeight="1" spans="1:8">
      <c r="A71" s="369" t="s">
        <v>955</v>
      </c>
      <c r="B71" s="378" t="s">
        <v>964</v>
      </c>
      <c r="C71" s="363">
        <v>20</v>
      </c>
      <c r="D71" s="363">
        <f t="shared" si="7"/>
        <v>-10.5</v>
      </c>
      <c r="E71" s="363"/>
      <c r="F71" s="363">
        <v>-10.5</v>
      </c>
      <c r="G71" s="363">
        <f t="shared" si="8"/>
        <v>9.5</v>
      </c>
      <c r="H71" s="374"/>
    </row>
    <row r="72" s="351" customFormat="1" ht="26.25" customHeight="1" spans="1:8">
      <c r="A72" s="369" t="s">
        <v>955</v>
      </c>
      <c r="B72" s="378" t="s">
        <v>965</v>
      </c>
      <c r="C72" s="363">
        <v>11</v>
      </c>
      <c r="D72" s="363">
        <f t="shared" si="7"/>
        <v>-3.5</v>
      </c>
      <c r="E72" s="363"/>
      <c r="F72" s="363">
        <v>-3.5</v>
      </c>
      <c r="G72" s="363">
        <f t="shared" si="8"/>
        <v>7.5</v>
      </c>
      <c r="H72" s="374"/>
    </row>
    <row r="73" s="351" customFormat="1" ht="26.25" customHeight="1" spans="1:8">
      <c r="A73" s="369" t="s">
        <v>955</v>
      </c>
      <c r="B73" s="378" t="s">
        <v>966</v>
      </c>
      <c r="C73" s="363">
        <v>80</v>
      </c>
      <c r="D73" s="363">
        <f t="shared" si="7"/>
        <v>-10</v>
      </c>
      <c r="E73" s="363"/>
      <c r="F73" s="363">
        <v>-10</v>
      </c>
      <c r="G73" s="363">
        <f t="shared" si="8"/>
        <v>70</v>
      </c>
      <c r="H73" s="374"/>
    </row>
    <row r="74" s="351" customFormat="1" ht="26.25" customHeight="1" spans="1:8">
      <c r="A74" s="369" t="s">
        <v>955</v>
      </c>
      <c r="B74" s="378" t="s">
        <v>967</v>
      </c>
      <c r="C74" s="363">
        <v>120</v>
      </c>
      <c r="D74" s="363">
        <f t="shared" si="7"/>
        <v>-10</v>
      </c>
      <c r="E74" s="363"/>
      <c r="F74" s="363">
        <v>-10</v>
      </c>
      <c r="G74" s="363">
        <f t="shared" si="8"/>
        <v>110</v>
      </c>
      <c r="H74" s="374"/>
    </row>
    <row r="75" s="351" customFormat="1" ht="26.25" customHeight="1" spans="1:8">
      <c r="A75" s="369" t="s">
        <v>955</v>
      </c>
      <c r="B75" s="378" t="s">
        <v>968</v>
      </c>
      <c r="C75" s="363">
        <v>200</v>
      </c>
      <c r="D75" s="363">
        <f t="shared" si="7"/>
        <v>-80</v>
      </c>
      <c r="E75" s="363"/>
      <c r="F75" s="363">
        <v>-80</v>
      </c>
      <c r="G75" s="363">
        <f t="shared" si="8"/>
        <v>120</v>
      </c>
      <c r="H75" s="374"/>
    </row>
    <row r="76" s="351" customFormat="1" ht="26.25" customHeight="1" spans="1:8">
      <c r="A76" s="369" t="s">
        <v>955</v>
      </c>
      <c r="B76" s="378" t="s">
        <v>969</v>
      </c>
      <c r="C76" s="363">
        <v>310</v>
      </c>
      <c r="D76" s="363">
        <f t="shared" si="7"/>
        <v>-5.87</v>
      </c>
      <c r="E76" s="363"/>
      <c r="F76" s="363">
        <v>-5.87</v>
      </c>
      <c r="G76" s="363">
        <f t="shared" si="8"/>
        <v>304.13</v>
      </c>
      <c r="H76" s="374"/>
    </row>
    <row r="77" s="351" customFormat="1" ht="26.25" customHeight="1" spans="1:8">
      <c r="A77" s="369" t="s">
        <v>970</v>
      </c>
      <c r="B77" s="378" t="s">
        <v>971</v>
      </c>
      <c r="C77" s="363">
        <v>0</v>
      </c>
      <c r="D77" s="363">
        <f t="shared" si="7"/>
        <v>10</v>
      </c>
      <c r="E77" s="363">
        <v>10</v>
      </c>
      <c r="F77" s="363"/>
      <c r="G77" s="363">
        <f t="shared" si="8"/>
        <v>10</v>
      </c>
      <c r="H77" s="374"/>
    </row>
    <row r="78" s="351" customFormat="1" ht="26.25" customHeight="1" spans="1:8">
      <c r="A78" s="369" t="s">
        <v>970</v>
      </c>
      <c r="B78" s="378" t="s">
        <v>972</v>
      </c>
      <c r="C78" s="363">
        <v>380</v>
      </c>
      <c r="D78" s="363">
        <f t="shared" si="7"/>
        <v>-70</v>
      </c>
      <c r="E78" s="363"/>
      <c r="F78" s="363">
        <v>-70</v>
      </c>
      <c r="G78" s="363">
        <f t="shared" si="8"/>
        <v>310</v>
      </c>
      <c r="H78" s="374"/>
    </row>
    <row r="79" s="351" customFormat="1" ht="26.25" customHeight="1" spans="1:8">
      <c r="A79" s="369" t="s">
        <v>970</v>
      </c>
      <c r="B79" s="378" t="s">
        <v>973</v>
      </c>
      <c r="C79" s="363">
        <v>3275</v>
      </c>
      <c r="D79" s="363">
        <f t="shared" si="7"/>
        <v>-50</v>
      </c>
      <c r="E79" s="363"/>
      <c r="F79" s="363">
        <v>-50</v>
      </c>
      <c r="G79" s="363">
        <f t="shared" si="8"/>
        <v>3225</v>
      </c>
      <c r="H79" s="374"/>
    </row>
    <row r="80" s="351" customFormat="1" ht="26.25" customHeight="1" spans="1:8">
      <c r="A80" s="369" t="s">
        <v>970</v>
      </c>
      <c r="B80" s="378" t="s">
        <v>974</v>
      </c>
      <c r="C80" s="363">
        <v>1800</v>
      </c>
      <c r="D80" s="363">
        <f t="shared" si="7"/>
        <v>-1395</v>
      </c>
      <c r="E80" s="363"/>
      <c r="F80" s="373">
        <v>-1395</v>
      </c>
      <c r="G80" s="363">
        <f t="shared" si="8"/>
        <v>405</v>
      </c>
      <c r="H80" s="374" t="s">
        <v>975</v>
      </c>
    </row>
    <row r="81" s="351" customFormat="1" ht="26.25" customHeight="1" spans="1:8">
      <c r="A81" s="369" t="s">
        <v>970</v>
      </c>
      <c r="B81" s="378" t="s">
        <v>976</v>
      </c>
      <c r="C81" s="363">
        <v>600</v>
      </c>
      <c r="D81" s="363">
        <f t="shared" si="7"/>
        <v>-150</v>
      </c>
      <c r="E81" s="363"/>
      <c r="F81" s="373">
        <v>-150</v>
      </c>
      <c r="G81" s="363">
        <f t="shared" si="8"/>
        <v>450</v>
      </c>
      <c r="H81" s="374"/>
    </row>
    <row r="82" s="351" customFormat="1" ht="26.25" customHeight="1" spans="1:8">
      <c r="A82" s="369" t="s">
        <v>977</v>
      </c>
      <c r="B82" s="378" t="s">
        <v>978</v>
      </c>
      <c r="C82" s="363">
        <v>481</v>
      </c>
      <c r="D82" s="363">
        <f t="shared" si="7"/>
        <v>-141</v>
      </c>
      <c r="E82" s="363"/>
      <c r="F82" s="363">
        <v>-141</v>
      </c>
      <c r="G82" s="363">
        <f t="shared" si="8"/>
        <v>340</v>
      </c>
      <c r="H82" s="374"/>
    </row>
    <row r="83" s="351" customFormat="1" ht="26.25" customHeight="1" spans="1:8">
      <c r="A83" s="369" t="s">
        <v>977</v>
      </c>
      <c r="B83" s="378" t="s">
        <v>979</v>
      </c>
      <c r="C83" s="363">
        <v>245</v>
      </c>
      <c r="D83" s="363">
        <f t="shared" si="7"/>
        <v>-100</v>
      </c>
      <c r="E83" s="363"/>
      <c r="F83" s="363">
        <v>-100</v>
      </c>
      <c r="G83" s="363">
        <f t="shared" si="8"/>
        <v>145</v>
      </c>
      <c r="H83" s="374"/>
    </row>
    <row r="84" s="351" customFormat="1" ht="26.25" customHeight="1" spans="1:8">
      <c r="A84" s="369" t="s">
        <v>980</v>
      </c>
      <c r="B84" s="378" t="s">
        <v>981</v>
      </c>
      <c r="C84" s="363">
        <v>22.3</v>
      </c>
      <c r="D84" s="363">
        <f t="shared" si="7"/>
        <v>-6.69</v>
      </c>
      <c r="E84" s="363"/>
      <c r="F84" s="363">
        <v>-6.69</v>
      </c>
      <c r="G84" s="363">
        <f t="shared" si="8"/>
        <v>15.61</v>
      </c>
      <c r="H84" s="374"/>
    </row>
    <row r="85" s="351" customFormat="1" ht="26.25" customHeight="1" spans="1:8">
      <c r="A85" s="369" t="s">
        <v>980</v>
      </c>
      <c r="B85" s="378" t="s">
        <v>982</v>
      </c>
      <c r="C85" s="363">
        <v>90</v>
      </c>
      <c r="D85" s="363">
        <f t="shared" si="7"/>
        <v>-25</v>
      </c>
      <c r="E85" s="363"/>
      <c r="F85" s="363">
        <v>-25</v>
      </c>
      <c r="G85" s="363">
        <f t="shared" si="8"/>
        <v>65</v>
      </c>
      <c r="H85" s="374"/>
    </row>
    <row r="86" s="351" customFormat="1" ht="26.25" customHeight="1" spans="1:8">
      <c r="A86" s="369" t="s">
        <v>983</v>
      </c>
      <c r="B86" s="378" t="s">
        <v>984</v>
      </c>
      <c r="C86" s="363">
        <v>160</v>
      </c>
      <c r="D86" s="363">
        <f t="shared" si="7"/>
        <v>-30</v>
      </c>
      <c r="E86" s="363"/>
      <c r="F86" s="363">
        <v>-30</v>
      </c>
      <c r="G86" s="363">
        <f t="shared" si="8"/>
        <v>130</v>
      </c>
      <c r="H86" s="374"/>
    </row>
    <row r="87" s="351" customFormat="1" ht="26.25" customHeight="1" spans="1:8">
      <c r="A87" s="369" t="s">
        <v>983</v>
      </c>
      <c r="B87" s="378" t="s">
        <v>985</v>
      </c>
      <c r="C87" s="363">
        <v>240</v>
      </c>
      <c r="D87" s="363">
        <f t="shared" si="7"/>
        <v>-70</v>
      </c>
      <c r="E87" s="363"/>
      <c r="F87" s="363">
        <v>-70</v>
      </c>
      <c r="G87" s="363">
        <f t="shared" si="8"/>
        <v>170</v>
      </c>
      <c r="H87" s="374"/>
    </row>
    <row r="88" s="351" customFormat="1" ht="26.25" customHeight="1" spans="1:8">
      <c r="A88" s="369" t="s">
        <v>983</v>
      </c>
      <c r="B88" s="378" t="s">
        <v>986</v>
      </c>
      <c r="C88" s="363">
        <v>15</v>
      </c>
      <c r="D88" s="363">
        <f t="shared" ref="D88:D119" si="9">E88+F88</f>
        <v>-6</v>
      </c>
      <c r="E88" s="363"/>
      <c r="F88" s="363">
        <v>-6</v>
      </c>
      <c r="G88" s="363">
        <f t="shared" ref="G88:G119" si="10">C88+D88</f>
        <v>9</v>
      </c>
      <c r="H88" s="374"/>
    </row>
    <row r="89" s="351" customFormat="1" ht="26.25" customHeight="1" spans="1:8">
      <c r="A89" s="369" t="s">
        <v>983</v>
      </c>
      <c r="B89" s="378" t="s">
        <v>987</v>
      </c>
      <c r="C89" s="363">
        <v>12.4</v>
      </c>
      <c r="D89" s="363">
        <f t="shared" si="9"/>
        <v>-7</v>
      </c>
      <c r="E89" s="363"/>
      <c r="F89" s="363">
        <v>-7</v>
      </c>
      <c r="G89" s="363">
        <f t="shared" si="10"/>
        <v>5.4</v>
      </c>
      <c r="H89" s="374"/>
    </row>
    <row r="90" s="351" customFormat="1" ht="26.25" customHeight="1" spans="1:8">
      <c r="A90" s="369" t="s">
        <v>988</v>
      </c>
      <c r="B90" s="378" t="s">
        <v>989</v>
      </c>
      <c r="C90" s="363">
        <v>134.64</v>
      </c>
      <c r="D90" s="363">
        <f t="shared" si="9"/>
        <v>-9.95</v>
      </c>
      <c r="E90" s="363"/>
      <c r="F90" s="363">
        <v>-9.95</v>
      </c>
      <c r="G90" s="363">
        <f t="shared" si="10"/>
        <v>124.69</v>
      </c>
      <c r="H90" s="374"/>
    </row>
    <row r="91" s="351" customFormat="1" ht="26.25" customHeight="1" spans="1:8">
      <c r="A91" s="369" t="s">
        <v>988</v>
      </c>
      <c r="B91" s="378" t="s">
        <v>990</v>
      </c>
      <c r="C91" s="363">
        <v>130</v>
      </c>
      <c r="D91" s="363">
        <f t="shared" si="9"/>
        <v>-26.31</v>
      </c>
      <c r="E91" s="363"/>
      <c r="F91" s="363">
        <v>-26.31</v>
      </c>
      <c r="G91" s="363">
        <f t="shared" si="10"/>
        <v>103.69</v>
      </c>
      <c r="H91" s="374"/>
    </row>
    <row r="92" s="351" customFormat="1" ht="26.25" customHeight="1" spans="1:8">
      <c r="A92" s="369" t="s">
        <v>988</v>
      </c>
      <c r="B92" s="378" t="s">
        <v>991</v>
      </c>
      <c r="C92" s="363">
        <v>300</v>
      </c>
      <c r="D92" s="363">
        <f t="shared" si="9"/>
        <v>-33.55</v>
      </c>
      <c r="E92" s="363"/>
      <c r="F92" s="363">
        <v>-33.55</v>
      </c>
      <c r="G92" s="363">
        <f t="shared" si="10"/>
        <v>266.45</v>
      </c>
      <c r="H92" s="374"/>
    </row>
    <row r="93" s="351" customFormat="1" ht="26.25" customHeight="1" spans="1:8">
      <c r="A93" s="369" t="s">
        <v>992</v>
      </c>
      <c r="B93" s="378" t="s">
        <v>993</v>
      </c>
      <c r="C93" s="363">
        <v>9</v>
      </c>
      <c r="D93" s="363">
        <f t="shared" si="9"/>
        <v>-9</v>
      </c>
      <c r="E93" s="363"/>
      <c r="F93" s="363">
        <v>-9</v>
      </c>
      <c r="G93" s="363">
        <f t="shared" si="10"/>
        <v>0</v>
      </c>
      <c r="H93" s="374" t="s">
        <v>994</v>
      </c>
    </row>
    <row r="94" s="351" customFormat="1" ht="26.25" customHeight="1" spans="1:8">
      <c r="A94" s="369" t="s">
        <v>995</v>
      </c>
      <c r="B94" s="378" t="s">
        <v>993</v>
      </c>
      <c r="C94" s="363">
        <v>9</v>
      </c>
      <c r="D94" s="363">
        <f t="shared" si="9"/>
        <v>-9</v>
      </c>
      <c r="E94" s="363"/>
      <c r="F94" s="363">
        <v>-9</v>
      </c>
      <c r="G94" s="363">
        <f t="shared" si="10"/>
        <v>0</v>
      </c>
      <c r="H94" s="374" t="s">
        <v>994</v>
      </c>
    </row>
    <row r="95" s="351" customFormat="1" ht="26.25" customHeight="1" spans="1:8">
      <c r="A95" s="369" t="s">
        <v>996</v>
      </c>
      <c r="B95" s="378" t="s">
        <v>997</v>
      </c>
      <c r="C95" s="363">
        <v>19</v>
      </c>
      <c r="D95" s="363">
        <f t="shared" si="9"/>
        <v>-19</v>
      </c>
      <c r="E95" s="363"/>
      <c r="F95" s="363">
        <v>-19</v>
      </c>
      <c r="G95" s="363">
        <f t="shared" si="10"/>
        <v>0</v>
      </c>
      <c r="H95" s="374" t="s">
        <v>998</v>
      </c>
    </row>
    <row r="96" s="351" customFormat="1" ht="26.25" customHeight="1" spans="1:8">
      <c r="A96" s="369" t="s">
        <v>999</v>
      </c>
      <c r="B96" s="378" t="s">
        <v>997</v>
      </c>
      <c r="C96" s="363">
        <v>10</v>
      </c>
      <c r="D96" s="363">
        <f t="shared" si="9"/>
        <v>-10</v>
      </c>
      <c r="E96" s="363"/>
      <c r="F96" s="363">
        <v>-10</v>
      </c>
      <c r="G96" s="363">
        <f t="shared" si="10"/>
        <v>0</v>
      </c>
      <c r="H96" s="374" t="s">
        <v>998</v>
      </c>
    </row>
    <row r="97" s="351" customFormat="1" ht="26.25" customHeight="1" spans="1:8">
      <c r="A97" s="369" t="s">
        <v>1000</v>
      </c>
      <c r="B97" s="378" t="s">
        <v>1001</v>
      </c>
      <c r="C97" s="363">
        <v>717</v>
      </c>
      <c r="D97" s="363">
        <f t="shared" si="9"/>
        <v>-43</v>
      </c>
      <c r="E97" s="363"/>
      <c r="F97" s="363">
        <v>-43</v>
      </c>
      <c r="G97" s="363">
        <f t="shared" si="10"/>
        <v>674</v>
      </c>
      <c r="H97" s="374"/>
    </row>
    <row r="98" s="351" customFormat="1" ht="26.25" customHeight="1" spans="1:8">
      <c r="A98" s="369" t="s">
        <v>1000</v>
      </c>
      <c r="B98" s="378" t="s">
        <v>1002</v>
      </c>
      <c r="C98" s="363">
        <v>1186</v>
      </c>
      <c r="D98" s="363">
        <f t="shared" si="9"/>
        <v>-86</v>
      </c>
      <c r="E98" s="363"/>
      <c r="F98" s="363">
        <v>-86</v>
      </c>
      <c r="G98" s="363">
        <f t="shared" si="10"/>
        <v>1100</v>
      </c>
      <c r="H98" s="374"/>
    </row>
    <row r="99" s="351" customFormat="1" ht="26.25" customHeight="1" spans="1:8">
      <c r="A99" s="369" t="s">
        <v>1000</v>
      </c>
      <c r="B99" s="378" t="s">
        <v>1003</v>
      </c>
      <c r="C99" s="363">
        <v>700</v>
      </c>
      <c r="D99" s="363">
        <f t="shared" si="9"/>
        <v>-100</v>
      </c>
      <c r="E99" s="363"/>
      <c r="F99" s="363">
        <v>-100</v>
      </c>
      <c r="G99" s="363">
        <f t="shared" si="10"/>
        <v>600</v>
      </c>
      <c r="H99" s="374"/>
    </row>
    <row r="100" s="351" customFormat="1" ht="26.25" customHeight="1" spans="1:8">
      <c r="A100" s="369" t="s">
        <v>1004</v>
      </c>
      <c r="B100" s="378" t="s">
        <v>1005</v>
      </c>
      <c r="C100" s="363">
        <v>94</v>
      </c>
      <c r="D100" s="363">
        <f t="shared" si="9"/>
        <v>12</v>
      </c>
      <c r="E100" s="363">
        <v>12</v>
      </c>
      <c r="F100" s="363"/>
      <c r="G100" s="363">
        <f t="shared" si="10"/>
        <v>106</v>
      </c>
      <c r="H100" s="374" t="s">
        <v>1006</v>
      </c>
    </row>
    <row r="101" s="351" customFormat="1" ht="26.25" customHeight="1" spans="1:8">
      <c r="A101" s="369" t="s">
        <v>1004</v>
      </c>
      <c r="B101" s="378" t="s">
        <v>1007</v>
      </c>
      <c r="C101" s="363">
        <v>98</v>
      </c>
      <c r="D101" s="363">
        <f t="shared" si="9"/>
        <v>-23.48</v>
      </c>
      <c r="E101" s="363"/>
      <c r="F101" s="363">
        <f>-22.08-1.4</f>
        <v>-23.48</v>
      </c>
      <c r="G101" s="363">
        <f t="shared" si="10"/>
        <v>74.52</v>
      </c>
      <c r="H101" s="374"/>
    </row>
    <row r="102" s="351" customFormat="1" ht="26.25" customHeight="1" spans="1:8">
      <c r="A102" s="369" t="s">
        <v>1004</v>
      </c>
      <c r="B102" s="378" t="s">
        <v>1008</v>
      </c>
      <c r="C102" s="363">
        <v>360</v>
      </c>
      <c r="D102" s="363">
        <f t="shared" si="9"/>
        <v>-360</v>
      </c>
      <c r="E102" s="363"/>
      <c r="F102" s="373">
        <v>-360</v>
      </c>
      <c r="G102" s="363">
        <f t="shared" si="10"/>
        <v>0</v>
      </c>
      <c r="H102" s="374" t="s">
        <v>1009</v>
      </c>
    </row>
    <row r="103" s="351" customFormat="1" ht="26.25" customHeight="1" spans="1:8">
      <c r="A103" s="369" t="s">
        <v>1004</v>
      </c>
      <c r="B103" s="378" t="s">
        <v>1010</v>
      </c>
      <c r="C103" s="363">
        <v>687.5</v>
      </c>
      <c r="D103" s="363">
        <f t="shared" si="9"/>
        <v>-45</v>
      </c>
      <c r="E103" s="363"/>
      <c r="F103" s="363">
        <v>-45</v>
      </c>
      <c r="G103" s="363">
        <f t="shared" si="10"/>
        <v>642.5</v>
      </c>
      <c r="H103" s="374"/>
    </row>
    <row r="104" s="351" customFormat="1" ht="26.25" customHeight="1" spans="1:8">
      <c r="A104" s="369" t="s">
        <v>1004</v>
      </c>
      <c r="B104" s="378" t="s">
        <v>1011</v>
      </c>
      <c r="C104" s="363">
        <v>10</v>
      </c>
      <c r="D104" s="363">
        <f t="shared" si="9"/>
        <v>-1</v>
      </c>
      <c r="E104" s="363"/>
      <c r="F104" s="363">
        <v>-1</v>
      </c>
      <c r="G104" s="363">
        <f t="shared" si="10"/>
        <v>9</v>
      </c>
      <c r="H104" s="374"/>
    </row>
    <row r="105" s="351" customFormat="1" ht="26.25" customHeight="1" spans="1:8">
      <c r="A105" s="369" t="s">
        <v>1004</v>
      </c>
      <c r="B105" s="378" t="s">
        <v>1012</v>
      </c>
      <c r="C105" s="363">
        <v>2000</v>
      </c>
      <c r="D105" s="363">
        <f t="shared" si="9"/>
        <v>-1700</v>
      </c>
      <c r="E105" s="363"/>
      <c r="F105" s="373">
        <v>-1700</v>
      </c>
      <c r="G105" s="363">
        <f t="shared" si="10"/>
        <v>300</v>
      </c>
      <c r="H105" s="374"/>
    </row>
    <row r="106" s="351" customFormat="1" ht="26.25" customHeight="1" spans="1:8">
      <c r="A106" s="369" t="s">
        <v>1004</v>
      </c>
      <c r="B106" s="378" t="s">
        <v>1013</v>
      </c>
      <c r="C106" s="363">
        <v>40</v>
      </c>
      <c r="D106" s="363">
        <f t="shared" si="9"/>
        <v>-20</v>
      </c>
      <c r="E106" s="363"/>
      <c r="F106" s="363">
        <v>-20</v>
      </c>
      <c r="G106" s="363">
        <f t="shared" si="10"/>
        <v>20</v>
      </c>
      <c r="H106" s="374"/>
    </row>
    <row r="107" s="351" customFormat="1" ht="26.25" customHeight="1" spans="1:8">
      <c r="A107" s="369" t="s">
        <v>1004</v>
      </c>
      <c r="B107" s="378" t="s">
        <v>1014</v>
      </c>
      <c r="C107" s="363">
        <v>111.60642</v>
      </c>
      <c r="D107" s="363">
        <f t="shared" si="9"/>
        <v>-0.78</v>
      </c>
      <c r="E107" s="363"/>
      <c r="F107" s="363">
        <v>-0.78</v>
      </c>
      <c r="G107" s="363">
        <f t="shared" si="10"/>
        <v>110.82642</v>
      </c>
      <c r="H107" s="374"/>
    </row>
    <row r="108" s="351" customFormat="1" ht="26.25" customHeight="1" spans="1:8">
      <c r="A108" s="369" t="s">
        <v>1015</v>
      </c>
      <c r="B108" s="378" t="s">
        <v>1016</v>
      </c>
      <c r="C108" s="363">
        <v>25.44</v>
      </c>
      <c r="D108" s="363">
        <f t="shared" si="9"/>
        <v>-3.22</v>
      </c>
      <c r="E108" s="363"/>
      <c r="F108" s="363">
        <v>-3.22</v>
      </c>
      <c r="G108" s="363">
        <f t="shared" si="10"/>
        <v>22.22</v>
      </c>
      <c r="H108" s="374"/>
    </row>
    <row r="109" s="351" customFormat="1" ht="26.25" customHeight="1" spans="1:8">
      <c r="A109" s="369" t="s">
        <v>1017</v>
      </c>
      <c r="B109" s="378" t="s">
        <v>1016</v>
      </c>
      <c r="C109" s="363">
        <v>27.48</v>
      </c>
      <c r="D109" s="363">
        <f t="shared" si="9"/>
        <v>-11.05</v>
      </c>
      <c r="E109" s="363"/>
      <c r="F109" s="363">
        <v>-11.05</v>
      </c>
      <c r="G109" s="363">
        <f t="shared" si="10"/>
        <v>16.43</v>
      </c>
      <c r="H109" s="374"/>
    </row>
    <row r="110" s="351" customFormat="1" ht="26.25" customHeight="1" spans="1:8">
      <c r="A110" s="369" t="s">
        <v>1018</v>
      </c>
      <c r="B110" s="378" t="s">
        <v>1016</v>
      </c>
      <c r="C110" s="363">
        <v>6.56</v>
      </c>
      <c r="D110" s="363">
        <f t="shared" si="9"/>
        <v>-3.81</v>
      </c>
      <c r="E110" s="363"/>
      <c r="F110" s="363">
        <v>-3.81</v>
      </c>
      <c r="G110" s="363">
        <f t="shared" si="10"/>
        <v>2.75</v>
      </c>
      <c r="H110" s="374"/>
    </row>
    <row r="111" s="351" customFormat="1" ht="26.25" customHeight="1" spans="1:8">
      <c r="A111" s="369" t="s">
        <v>1018</v>
      </c>
      <c r="B111" s="378" t="s">
        <v>1019</v>
      </c>
      <c r="C111" s="363">
        <v>1.2</v>
      </c>
      <c r="D111" s="363">
        <f t="shared" si="9"/>
        <v>-1.2</v>
      </c>
      <c r="E111" s="363"/>
      <c r="F111" s="363">
        <v>-1.2</v>
      </c>
      <c r="G111" s="363">
        <f t="shared" si="10"/>
        <v>0</v>
      </c>
      <c r="H111" s="374" t="s">
        <v>1009</v>
      </c>
    </row>
    <row r="112" s="351" customFormat="1" ht="26.25" customHeight="1" spans="1:8">
      <c r="A112" s="369" t="s">
        <v>1020</v>
      </c>
      <c r="B112" s="378" t="s">
        <v>1016</v>
      </c>
      <c r="C112" s="363">
        <v>17.2</v>
      </c>
      <c r="D112" s="363">
        <f t="shared" si="9"/>
        <v>-7</v>
      </c>
      <c r="E112" s="363"/>
      <c r="F112" s="363">
        <v>-7</v>
      </c>
      <c r="G112" s="363">
        <f t="shared" si="10"/>
        <v>10.2</v>
      </c>
      <c r="H112" s="374"/>
    </row>
    <row r="113" s="351" customFormat="1" ht="26.25" customHeight="1" spans="1:8">
      <c r="A113" s="369" t="s">
        <v>1021</v>
      </c>
      <c r="B113" s="378" t="s">
        <v>1022</v>
      </c>
      <c r="C113" s="363">
        <v>518.4</v>
      </c>
      <c r="D113" s="363">
        <f t="shared" si="9"/>
        <v>-218.4</v>
      </c>
      <c r="E113" s="363"/>
      <c r="F113" s="373">
        <v>-218.4</v>
      </c>
      <c r="G113" s="363">
        <f t="shared" si="10"/>
        <v>300</v>
      </c>
      <c r="H113" s="374"/>
    </row>
    <row r="114" s="351" customFormat="1" ht="26.25" customHeight="1" spans="1:8">
      <c r="A114" s="369" t="s">
        <v>1021</v>
      </c>
      <c r="B114" s="378" t="s">
        <v>888</v>
      </c>
      <c r="C114" s="363">
        <v>72</v>
      </c>
      <c r="D114" s="363">
        <f t="shared" si="9"/>
        <v>-30.25</v>
      </c>
      <c r="E114" s="363"/>
      <c r="F114" s="363">
        <v>-30.25</v>
      </c>
      <c r="G114" s="363">
        <f t="shared" si="10"/>
        <v>41.75</v>
      </c>
      <c r="H114" s="374"/>
    </row>
    <row r="115" s="351" customFormat="1" ht="26.25" customHeight="1" spans="1:8">
      <c r="A115" s="369" t="s">
        <v>1021</v>
      </c>
      <c r="B115" s="378" t="s">
        <v>1023</v>
      </c>
      <c r="C115" s="363">
        <v>47.81</v>
      </c>
      <c r="D115" s="363">
        <f t="shared" si="9"/>
        <v>-16.48</v>
      </c>
      <c r="E115" s="363"/>
      <c r="F115" s="363">
        <v>-16.48</v>
      </c>
      <c r="G115" s="363">
        <f t="shared" si="10"/>
        <v>31.33</v>
      </c>
      <c r="H115" s="374"/>
    </row>
    <row r="116" s="351" customFormat="1" ht="26.25" customHeight="1" spans="1:8">
      <c r="A116" s="369" t="s">
        <v>1024</v>
      </c>
      <c r="B116" s="378" t="s">
        <v>888</v>
      </c>
      <c r="C116" s="363">
        <v>45</v>
      </c>
      <c r="D116" s="363">
        <f t="shared" si="9"/>
        <v>-10.14</v>
      </c>
      <c r="E116" s="363"/>
      <c r="F116" s="363">
        <v>-10.14</v>
      </c>
      <c r="G116" s="363">
        <f t="shared" si="10"/>
        <v>34.86</v>
      </c>
      <c r="H116" s="374"/>
    </row>
    <row r="117" s="351" customFormat="1" ht="26.25" customHeight="1" spans="1:8">
      <c r="A117" s="369" t="s">
        <v>1024</v>
      </c>
      <c r="B117" s="378" t="s">
        <v>1022</v>
      </c>
      <c r="C117" s="363">
        <v>500</v>
      </c>
      <c r="D117" s="363">
        <f t="shared" si="9"/>
        <v>-340</v>
      </c>
      <c r="E117" s="363"/>
      <c r="F117" s="373">
        <v>-340</v>
      </c>
      <c r="G117" s="363">
        <f t="shared" si="10"/>
        <v>160</v>
      </c>
      <c r="H117" s="374"/>
    </row>
    <row r="118" s="351" customFormat="1" ht="26.25" customHeight="1" spans="1:8">
      <c r="A118" s="369" t="s">
        <v>1024</v>
      </c>
      <c r="B118" s="378" t="s">
        <v>1025</v>
      </c>
      <c r="C118" s="363">
        <v>24</v>
      </c>
      <c r="D118" s="363">
        <f t="shared" si="9"/>
        <v>-5</v>
      </c>
      <c r="E118" s="363"/>
      <c r="F118" s="363">
        <v>-5</v>
      </c>
      <c r="G118" s="363">
        <f t="shared" si="10"/>
        <v>19</v>
      </c>
      <c r="H118" s="374"/>
    </row>
    <row r="119" s="351" customFormat="1" ht="26.25" customHeight="1" spans="1:8">
      <c r="A119" s="369" t="s">
        <v>1026</v>
      </c>
      <c r="B119" s="378" t="s">
        <v>1022</v>
      </c>
      <c r="C119" s="363">
        <v>390</v>
      </c>
      <c r="D119" s="363">
        <f t="shared" si="9"/>
        <v>-150</v>
      </c>
      <c r="E119" s="363"/>
      <c r="F119" s="373">
        <v>-150</v>
      </c>
      <c r="G119" s="363">
        <f t="shared" si="10"/>
        <v>240</v>
      </c>
      <c r="H119" s="374"/>
    </row>
    <row r="120" s="351" customFormat="1" ht="26.25" customHeight="1" spans="1:8">
      <c r="A120" s="369" t="s">
        <v>1026</v>
      </c>
      <c r="B120" s="378" t="s">
        <v>888</v>
      </c>
      <c r="C120" s="363">
        <v>56.55</v>
      </c>
      <c r="D120" s="363">
        <f t="shared" ref="D120:D154" si="11">E120+F120</f>
        <v>-5.4</v>
      </c>
      <c r="E120" s="363"/>
      <c r="F120" s="363">
        <v>-5.4</v>
      </c>
      <c r="G120" s="363">
        <f t="shared" ref="G120:G154" si="12">C120+D120</f>
        <v>51.15</v>
      </c>
      <c r="H120" s="374"/>
    </row>
    <row r="121" s="351" customFormat="1" ht="26.25" customHeight="1" spans="1:8">
      <c r="A121" s="369" t="s">
        <v>1027</v>
      </c>
      <c r="B121" s="378" t="s">
        <v>888</v>
      </c>
      <c r="C121" s="363">
        <v>51.2</v>
      </c>
      <c r="D121" s="363">
        <f t="shared" si="11"/>
        <v>-5</v>
      </c>
      <c r="E121" s="363"/>
      <c r="F121" s="363">
        <v>-5</v>
      </c>
      <c r="G121" s="363">
        <f t="shared" si="12"/>
        <v>46.2</v>
      </c>
      <c r="H121" s="374"/>
    </row>
    <row r="122" s="351" customFormat="1" ht="26.25" customHeight="1" spans="1:8">
      <c r="A122" s="369" t="s">
        <v>1027</v>
      </c>
      <c r="B122" s="378" t="s">
        <v>1022</v>
      </c>
      <c r="C122" s="363">
        <v>300</v>
      </c>
      <c r="D122" s="363">
        <f t="shared" si="11"/>
        <v>-60</v>
      </c>
      <c r="E122" s="363"/>
      <c r="F122" s="363">
        <v>-60</v>
      </c>
      <c r="G122" s="363">
        <f t="shared" si="12"/>
        <v>240</v>
      </c>
      <c r="H122" s="374"/>
    </row>
    <row r="123" s="351" customFormat="1" ht="26.25" customHeight="1" spans="1:8">
      <c r="A123" s="369" t="s">
        <v>1027</v>
      </c>
      <c r="B123" s="378" t="s">
        <v>1023</v>
      </c>
      <c r="C123" s="363">
        <v>225.56</v>
      </c>
      <c r="D123" s="363">
        <f t="shared" si="11"/>
        <v>-19</v>
      </c>
      <c r="E123" s="363"/>
      <c r="F123" s="363">
        <v>-19</v>
      </c>
      <c r="G123" s="363">
        <f t="shared" si="12"/>
        <v>206.56</v>
      </c>
      <c r="H123" s="374"/>
    </row>
    <row r="124" s="351" customFormat="1" ht="26.25" customHeight="1" spans="1:8">
      <c r="A124" s="369" t="s">
        <v>1027</v>
      </c>
      <c r="B124" s="378" t="s">
        <v>1028</v>
      </c>
      <c r="C124" s="363">
        <v>22</v>
      </c>
      <c r="D124" s="363">
        <f t="shared" si="11"/>
        <v>-4</v>
      </c>
      <c r="E124" s="363"/>
      <c r="F124" s="363">
        <v>-4</v>
      </c>
      <c r="G124" s="363">
        <f t="shared" si="12"/>
        <v>18</v>
      </c>
      <c r="H124" s="374"/>
    </row>
    <row r="125" s="351" customFormat="1" ht="26.25" customHeight="1" spans="1:8">
      <c r="A125" s="369" t="s">
        <v>1029</v>
      </c>
      <c r="B125" s="378" t="s">
        <v>1030</v>
      </c>
      <c r="C125" s="363">
        <v>141.8</v>
      </c>
      <c r="D125" s="363">
        <f t="shared" si="11"/>
        <v>-55</v>
      </c>
      <c r="E125" s="363"/>
      <c r="F125" s="363">
        <v>-55</v>
      </c>
      <c r="G125" s="363">
        <f t="shared" si="12"/>
        <v>86.8</v>
      </c>
      <c r="H125" s="374"/>
    </row>
    <row r="126" s="351" customFormat="1" ht="26.25" customHeight="1" spans="1:8">
      <c r="A126" s="369" t="s">
        <v>1031</v>
      </c>
      <c r="B126" s="378" t="s">
        <v>1032</v>
      </c>
      <c r="C126" s="363">
        <v>33.54</v>
      </c>
      <c r="D126" s="363">
        <f t="shared" si="11"/>
        <v>-7.64</v>
      </c>
      <c r="E126" s="363"/>
      <c r="F126" s="363">
        <v>-7.64</v>
      </c>
      <c r="G126" s="363">
        <f t="shared" si="12"/>
        <v>25.9</v>
      </c>
      <c r="H126" s="374"/>
    </row>
    <row r="127" s="351" customFormat="1" ht="26.25" customHeight="1" spans="1:8">
      <c r="A127" s="369" t="s">
        <v>1031</v>
      </c>
      <c r="B127" s="378" t="s">
        <v>1033</v>
      </c>
      <c r="C127" s="363">
        <v>12</v>
      </c>
      <c r="D127" s="363">
        <f t="shared" si="11"/>
        <v>-2</v>
      </c>
      <c r="E127" s="363"/>
      <c r="F127" s="363">
        <v>-2</v>
      </c>
      <c r="G127" s="363">
        <f t="shared" si="12"/>
        <v>10</v>
      </c>
      <c r="H127" s="374"/>
    </row>
    <row r="128" s="351" customFormat="1" ht="26.25" customHeight="1" spans="1:8">
      <c r="A128" s="369" t="s">
        <v>1031</v>
      </c>
      <c r="B128" s="378" t="s">
        <v>1034</v>
      </c>
      <c r="C128" s="363">
        <v>25</v>
      </c>
      <c r="D128" s="363">
        <f t="shared" si="11"/>
        <v>-12.52</v>
      </c>
      <c r="E128" s="363"/>
      <c r="F128" s="363">
        <v>-12.52</v>
      </c>
      <c r="G128" s="363">
        <f t="shared" si="12"/>
        <v>12.48</v>
      </c>
      <c r="H128" s="374"/>
    </row>
    <row r="129" s="351" customFormat="1" ht="26.25" customHeight="1" spans="1:8">
      <c r="A129" s="369" t="s">
        <v>1031</v>
      </c>
      <c r="B129" s="378" t="s">
        <v>1035</v>
      </c>
      <c r="C129" s="363">
        <v>10</v>
      </c>
      <c r="D129" s="363">
        <f t="shared" si="11"/>
        <v>-2</v>
      </c>
      <c r="E129" s="363"/>
      <c r="F129" s="363">
        <v>-2</v>
      </c>
      <c r="G129" s="363">
        <f t="shared" si="12"/>
        <v>8</v>
      </c>
      <c r="H129" s="374"/>
    </row>
    <row r="130" s="351" customFormat="1" ht="26.25" customHeight="1" spans="1:8">
      <c r="A130" s="369" t="s">
        <v>1036</v>
      </c>
      <c r="B130" s="378" t="s">
        <v>1037</v>
      </c>
      <c r="C130" s="363">
        <v>10</v>
      </c>
      <c r="D130" s="363">
        <f t="shared" si="11"/>
        <v>-3</v>
      </c>
      <c r="E130" s="363"/>
      <c r="F130" s="363">
        <v>-3</v>
      </c>
      <c r="G130" s="363">
        <f t="shared" si="12"/>
        <v>7</v>
      </c>
      <c r="H130" s="374"/>
    </row>
    <row r="131" s="351" customFormat="1" ht="26.25" customHeight="1" spans="1:8">
      <c r="A131" s="369" t="s">
        <v>1038</v>
      </c>
      <c r="B131" s="378" t="s">
        <v>1039</v>
      </c>
      <c r="C131" s="363">
        <v>0</v>
      </c>
      <c r="D131" s="363">
        <f t="shared" si="11"/>
        <v>20</v>
      </c>
      <c r="E131" s="363">
        <v>20</v>
      </c>
      <c r="F131" s="363"/>
      <c r="G131" s="363">
        <f t="shared" si="12"/>
        <v>20</v>
      </c>
      <c r="H131" s="374"/>
    </row>
    <row r="132" s="351" customFormat="1" ht="26.25" customHeight="1" spans="1:8">
      <c r="A132" s="369" t="s">
        <v>1038</v>
      </c>
      <c r="B132" s="378" t="s">
        <v>1040</v>
      </c>
      <c r="C132" s="363">
        <v>0</v>
      </c>
      <c r="D132" s="363">
        <f t="shared" si="11"/>
        <v>8</v>
      </c>
      <c r="E132" s="363">
        <v>8</v>
      </c>
      <c r="F132" s="363"/>
      <c r="G132" s="363">
        <f t="shared" si="12"/>
        <v>8</v>
      </c>
      <c r="H132" s="374"/>
    </row>
    <row r="133" s="351" customFormat="1" ht="26.25" customHeight="1" spans="1:8">
      <c r="A133" s="369" t="s">
        <v>1038</v>
      </c>
      <c r="B133" s="378" t="s">
        <v>1041</v>
      </c>
      <c r="C133" s="363">
        <v>560</v>
      </c>
      <c r="D133" s="363">
        <f t="shared" si="11"/>
        <v>-522.48</v>
      </c>
      <c r="E133" s="363"/>
      <c r="F133" s="373">
        <v>-522.48</v>
      </c>
      <c r="G133" s="363">
        <f t="shared" si="12"/>
        <v>37.52</v>
      </c>
      <c r="H133" s="374"/>
    </row>
    <row r="134" s="351" customFormat="1" ht="26.25" customHeight="1" spans="1:8">
      <c r="A134" s="369" t="s">
        <v>1042</v>
      </c>
      <c r="B134" s="378" t="s">
        <v>1037</v>
      </c>
      <c r="C134" s="363">
        <v>750</v>
      </c>
      <c r="D134" s="363">
        <f t="shared" si="11"/>
        <v>100</v>
      </c>
      <c r="E134" s="363">
        <v>100</v>
      </c>
      <c r="F134" s="363"/>
      <c r="G134" s="363">
        <f t="shared" si="12"/>
        <v>850</v>
      </c>
      <c r="H134" s="374"/>
    </row>
    <row r="135" s="351" customFormat="1" ht="26.25" customHeight="1" spans="1:8">
      <c r="A135" s="369" t="s">
        <v>1043</v>
      </c>
      <c r="B135" s="378" t="s">
        <v>1044</v>
      </c>
      <c r="C135" s="363">
        <v>0</v>
      </c>
      <c r="D135" s="363">
        <f t="shared" si="11"/>
        <v>7</v>
      </c>
      <c r="E135" s="363">
        <v>7</v>
      </c>
      <c r="F135" s="363"/>
      <c r="G135" s="363">
        <f t="shared" si="12"/>
        <v>7</v>
      </c>
      <c r="H135" s="374" t="s">
        <v>1045</v>
      </c>
    </row>
    <row r="136" s="351" customFormat="1" ht="26.25" customHeight="1" spans="1:8">
      <c r="A136" s="369" t="s">
        <v>1043</v>
      </c>
      <c r="B136" s="378" t="s">
        <v>1046</v>
      </c>
      <c r="C136" s="363">
        <v>8</v>
      </c>
      <c r="D136" s="363">
        <f t="shared" si="11"/>
        <v>-4</v>
      </c>
      <c r="E136" s="363"/>
      <c r="F136" s="363">
        <v>-4</v>
      </c>
      <c r="G136" s="363">
        <f t="shared" si="12"/>
        <v>4</v>
      </c>
      <c r="H136" s="374"/>
    </row>
    <row r="137" s="351" customFormat="1" ht="26.25" customHeight="1" spans="1:8">
      <c r="A137" s="369" t="s">
        <v>1043</v>
      </c>
      <c r="B137" s="378" t="s">
        <v>1047</v>
      </c>
      <c r="C137" s="363">
        <v>2.4</v>
      </c>
      <c r="D137" s="363">
        <f t="shared" si="11"/>
        <v>-0.5</v>
      </c>
      <c r="E137" s="363"/>
      <c r="F137" s="363">
        <v>-0.5</v>
      </c>
      <c r="G137" s="363">
        <f t="shared" si="12"/>
        <v>1.9</v>
      </c>
      <c r="H137" s="374"/>
    </row>
    <row r="138" s="351" customFormat="1" ht="26.25" customHeight="1" spans="1:8">
      <c r="A138" s="369" t="s">
        <v>1048</v>
      </c>
      <c r="B138" s="378" t="s">
        <v>1049</v>
      </c>
      <c r="C138" s="363">
        <v>1000</v>
      </c>
      <c r="D138" s="363">
        <f t="shared" si="11"/>
        <v>4228.7387</v>
      </c>
      <c r="E138" s="363">
        <v>4228.7387</v>
      </c>
      <c r="F138" s="363"/>
      <c r="G138" s="363">
        <f t="shared" si="12"/>
        <v>5228.7387</v>
      </c>
      <c r="H138" s="374"/>
    </row>
    <row r="139" s="351" customFormat="1" ht="26.25" customHeight="1" spans="1:8">
      <c r="A139" s="369" t="s">
        <v>1048</v>
      </c>
      <c r="B139" s="378" t="s">
        <v>1050</v>
      </c>
      <c r="C139" s="363">
        <v>0</v>
      </c>
      <c r="D139" s="363">
        <f t="shared" si="11"/>
        <v>12.88</v>
      </c>
      <c r="E139" s="363">
        <v>12.88</v>
      </c>
      <c r="F139" s="363"/>
      <c r="G139" s="363">
        <f t="shared" si="12"/>
        <v>12.88</v>
      </c>
      <c r="H139" s="374" t="s">
        <v>1009</v>
      </c>
    </row>
    <row r="140" s="351" customFormat="1" ht="26.25" customHeight="1" spans="1:8">
      <c r="A140" s="369" t="s">
        <v>1048</v>
      </c>
      <c r="B140" s="378" t="s">
        <v>1051</v>
      </c>
      <c r="C140" s="363"/>
      <c r="D140" s="363">
        <f t="shared" si="11"/>
        <v>562</v>
      </c>
      <c r="E140" s="363">
        <v>562</v>
      </c>
      <c r="F140" s="363"/>
      <c r="G140" s="363">
        <f t="shared" si="12"/>
        <v>562</v>
      </c>
      <c r="H140" s="374" t="s">
        <v>1052</v>
      </c>
    </row>
    <row r="141" s="351" customFormat="1" ht="26.25" customHeight="1" spans="1:8">
      <c r="A141" s="369" t="s">
        <v>1048</v>
      </c>
      <c r="B141" s="378" t="s">
        <v>1053</v>
      </c>
      <c r="C141" s="363">
        <v>20000</v>
      </c>
      <c r="D141" s="363">
        <f t="shared" si="11"/>
        <v>-2972</v>
      </c>
      <c r="E141" s="363"/>
      <c r="F141" s="363">
        <v>-2972</v>
      </c>
      <c r="G141" s="363">
        <f t="shared" si="12"/>
        <v>17028</v>
      </c>
      <c r="H141" s="374"/>
    </row>
    <row r="142" s="351" customFormat="1" ht="26.25" customHeight="1" spans="1:8">
      <c r="A142" s="369" t="s">
        <v>1048</v>
      </c>
      <c r="B142" s="378" t="s">
        <v>1054</v>
      </c>
      <c r="C142" s="363">
        <v>2000</v>
      </c>
      <c r="D142" s="363">
        <f t="shared" si="11"/>
        <v>-1000</v>
      </c>
      <c r="E142" s="363"/>
      <c r="F142" s="363">
        <v>-1000</v>
      </c>
      <c r="G142" s="363">
        <f t="shared" si="12"/>
        <v>1000</v>
      </c>
      <c r="H142" s="374"/>
    </row>
    <row r="143" s="351" customFormat="1" ht="26.25" customHeight="1" spans="1:8">
      <c r="A143" s="369" t="s">
        <v>1055</v>
      </c>
      <c r="B143" s="378" t="s">
        <v>956</v>
      </c>
      <c r="C143" s="363">
        <v>0</v>
      </c>
      <c r="D143" s="363">
        <f t="shared" si="11"/>
        <v>4.2</v>
      </c>
      <c r="E143" s="363">
        <v>4.2</v>
      </c>
      <c r="F143" s="363"/>
      <c r="G143" s="363">
        <f t="shared" si="12"/>
        <v>4.2</v>
      </c>
      <c r="H143" s="374"/>
    </row>
    <row r="144" s="351" customFormat="1" ht="26.25" customHeight="1" spans="1:8">
      <c r="A144" s="369" t="s">
        <v>1055</v>
      </c>
      <c r="B144" s="378" t="s">
        <v>1056</v>
      </c>
      <c r="C144" s="363">
        <v>0</v>
      </c>
      <c r="D144" s="363">
        <f t="shared" si="11"/>
        <v>7080</v>
      </c>
      <c r="E144" s="363">
        <v>7080</v>
      </c>
      <c r="F144" s="363"/>
      <c r="G144" s="363">
        <f t="shared" si="12"/>
        <v>7080</v>
      </c>
      <c r="H144" s="374"/>
    </row>
    <row r="145" s="351" customFormat="1" ht="26.25" customHeight="1" spans="1:8">
      <c r="A145" s="369" t="s">
        <v>1057</v>
      </c>
      <c r="B145" s="378" t="s">
        <v>1058</v>
      </c>
      <c r="C145" s="363">
        <v>183</v>
      </c>
      <c r="D145" s="363">
        <f t="shared" si="11"/>
        <v>15</v>
      </c>
      <c r="E145" s="363">
        <v>15</v>
      </c>
      <c r="F145" s="363"/>
      <c r="G145" s="363">
        <f t="shared" si="12"/>
        <v>198</v>
      </c>
      <c r="H145" s="371" t="s">
        <v>1059</v>
      </c>
    </row>
    <row r="146" s="351" customFormat="1" ht="26.25" customHeight="1" spans="1:8">
      <c r="A146" s="369" t="s">
        <v>1057</v>
      </c>
      <c r="B146" s="378" t="s">
        <v>1060</v>
      </c>
      <c r="C146" s="363">
        <v>0</v>
      </c>
      <c r="D146" s="363">
        <f t="shared" si="11"/>
        <v>30</v>
      </c>
      <c r="E146" s="363">
        <v>30</v>
      </c>
      <c r="F146" s="363"/>
      <c r="G146" s="363">
        <f t="shared" si="12"/>
        <v>30</v>
      </c>
      <c r="H146" s="371" t="s">
        <v>1061</v>
      </c>
    </row>
    <row r="147" s="351" customFormat="1" ht="26.25" customHeight="1" spans="1:8">
      <c r="A147" s="369" t="s">
        <v>1057</v>
      </c>
      <c r="B147" s="378" t="s">
        <v>1062</v>
      </c>
      <c r="C147" s="363">
        <v>330</v>
      </c>
      <c r="D147" s="363">
        <f t="shared" si="11"/>
        <v>70</v>
      </c>
      <c r="E147" s="363">
        <v>70</v>
      </c>
      <c r="F147" s="363"/>
      <c r="G147" s="363">
        <f t="shared" si="12"/>
        <v>400</v>
      </c>
      <c r="H147" s="371"/>
    </row>
    <row r="148" s="351" customFormat="1" ht="26.25" customHeight="1" spans="1:8">
      <c r="A148" s="369" t="s">
        <v>1057</v>
      </c>
      <c r="B148" s="378" t="s">
        <v>1063</v>
      </c>
      <c r="C148" s="363">
        <v>0</v>
      </c>
      <c r="D148" s="363">
        <f t="shared" si="11"/>
        <v>60</v>
      </c>
      <c r="E148" s="363">
        <v>60</v>
      </c>
      <c r="F148" s="363"/>
      <c r="G148" s="363">
        <f t="shared" si="12"/>
        <v>60</v>
      </c>
      <c r="H148" s="371" t="s">
        <v>1061</v>
      </c>
    </row>
    <row r="149" s="351" customFormat="1" ht="26.25" customHeight="1" spans="1:8">
      <c r="A149" s="369" t="s">
        <v>1057</v>
      </c>
      <c r="B149" s="378" t="s">
        <v>1064</v>
      </c>
      <c r="C149" s="363">
        <v>360</v>
      </c>
      <c r="D149" s="363">
        <f t="shared" si="11"/>
        <v>-130</v>
      </c>
      <c r="E149" s="363"/>
      <c r="F149" s="373">
        <v>-130</v>
      </c>
      <c r="G149" s="363">
        <f t="shared" si="12"/>
        <v>230</v>
      </c>
      <c r="H149" s="371" t="s">
        <v>1065</v>
      </c>
    </row>
    <row r="150" s="351" customFormat="1" ht="26.25" customHeight="1" spans="1:8">
      <c r="A150" s="369" t="s">
        <v>1066</v>
      </c>
      <c r="B150" s="378" t="s">
        <v>933</v>
      </c>
      <c r="C150" s="363">
        <v>2</v>
      </c>
      <c r="D150" s="363">
        <f t="shared" si="11"/>
        <v>-0.318</v>
      </c>
      <c r="E150" s="363"/>
      <c r="F150" s="363">
        <v>-0.318</v>
      </c>
      <c r="G150" s="363">
        <f t="shared" si="12"/>
        <v>1.682</v>
      </c>
      <c r="H150" s="371"/>
    </row>
    <row r="151" s="351" customFormat="1" ht="26.25" customHeight="1" spans="1:8">
      <c r="A151" s="369" t="s">
        <v>1066</v>
      </c>
      <c r="B151" s="378" t="s">
        <v>1067</v>
      </c>
      <c r="C151" s="363">
        <v>50</v>
      </c>
      <c r="D151" s="363">
        <f t="shared" si="11"/>
        <v>-5</v>
      </c>
      <c r="E151" s="363"/>
      <c r="F151" s="363">
        <v>-5</v>
      </c>
      <c r="G151" s="363">
        <f t="shared" si="12"/>
        <v>45</v>
      </c>
      <c r="H151" s="371" t="s">
        <v>1009</v>
      </c>
    </row>
    <row r="152" s="351" customFormat="1" ht="26.25" customHeight="1" spans="1:8">
      <c r="A152" s="369" t="s">
        <v>1068</v>
      </c>
      <c r="B152" s="378" t="s">
        <v>1069</v>
      </c>
      <c r="C152" s="363">
        <v>0</v>
      </c>
      <c r="D152" s="363">
        <f t="shared" si="11"/>
        <v>11.4</v>
      </c>
      <c r="E152" s="363">
        <v>11.4</v>
      </c>
      <c r="F152" s="363"/>
      <c r="G152" s="363">
        <f t="shared" si="12"/>
        <v>11.4</v>
      </c>
      <c r="H152" s="371"/>
    </row>
    <row r="153" s="351" customFormat="1" ht="26.25" customHeight="1" spans="1:8">
      <c r="A153" s="369" t="s">
        <v>1068</v>
      </c>
      <c r="B153" s="378" t="s">
        <v>1070</v>
      </c>
      <c r="C153" s="363">
        <v>0</v>
      </c>
      <c r="D153" s="363">
        <f t="shared" si="11"/>
        <v>7.5</v>
      </c>
      <c r="E153" s="363">
        <v>7.5</v>
      </c>
      <c r="F153" s="363"/>
      <c r="G153" s="363">
        <f t="shared" si="12"/>
        <v>7.5</v>
      </c>
      <c r="H153" s="371"/>
    </row>
    <row r="154" s="351" customFormat="1" ht="26.25" customHeight="1" spans="1:8">
      <c r="A154" s="369" t="s">
        <v>1068</v>
      </c>
      <c r="B154" s="378" t="s">
        <v>1071</v>
      </c>
      <c r="C154" s="363">
        <v>53</v>
      </c>
      <c r="D154" s="363">
        <f t="shared" si="11"/>
        <v>100</v>
      </c>
      <c r="E154" s="363">
        <v>100</v>
      </c>
      <c r="F154" s="363"/>
      <c r="G154" s="363">
        <f t="shared" si="12"/>
        <v>153</v>
      </c>
      <c r="H154" s="371"/>
    </row>
    <row r="155" s="351" customFormat="1" ht="26.25" customHeight="1" spans="1:8">
      <c r="A155" s="369" t="s">
        <v>1072</v>
      </c>
      <c r="B155" s="378" t="s">
        <v>1073</v>
      </c>
      <c r="C155" s="363">
        <v>0</v>
      </c>
      <c r="D155" s="363">
        <f t="shared" ref="D155:D184" si="13">E155+F155</f>
        <v>12</v>
      </c>
      <c r="E155" s="363">
        <v>12</v>
      </c>
      <c r="F155" s="363"/>
      <c r="G155" s="363">
        <f t="shared" ref="G155:G184" si="14">C155+D155</f>
        <v>12</v>
      </c>
      <c r="H155" s="371"/>
    </row>
    <row r="156" s="351" customFormat="1" ht="26.25" customHeight="1" spans="1:8">
      <c r="A156" s="369" t="s">
        <v>1072</v>
      </c>
      <c r="B156" s="378" t="s">
        <v>1074</v>
      </c>
      <c r="C156" s="363">
        <v>0</v>
      </c>
      <c r="D156" s="363">
        <f t="shared" si="13"/>
        <v>4700</v>
      </c>
      <c r="E156" s="363">
        <v>4700</v>
      </c>
      <c r="F156" s="363"/>
      <c r="G156" s="363">
        <f t="shared" si="14"/>
        <v>4700</v>
      </c>
      <c r="H156" s="371"/>
    </row>
    <row r="157" s="351" customFormat="1" ht="26.25" customHeight="1" spans="1:8">
      <c r="A157" s="369" t="s">
        <v>1072</v>
      </c>
      <c r="B157" s="378" t="s">
        <v>1075</v>
      </c>
      <c r="C157" s="363">
        <v>0</v>
      </c>
      <c r="D157" s="363">
        <f t="shared" si="13"/>
        <v>237.38</v>
      </c>
      <c r="E157" s="363">
        <v>237.38</v>
      </c>
      <c r="F157" s="363"/>
      <c r="G157" s="363">
        <f t="shared" si="14"/>
        <v>237.38</v>
      </c>
      <c r="H157" s="371" t="s">
        <v>1076</v>
      </c>
    </row>
    <row r="158" s="351" customFormat="1" ht="26.25" customHeight="1" spans="1:8">
      <c r="A158" s="369" t="s">
        <v>1072</v>
      </c>
      <c r="B158" s="378" t="s">
        <v>1077</v>
      </c>
      <c r="C158" s="363">
        <v>60</v>
      </c>
      <c r="D158" s="363">
        <f t="shared" si="13"/>
        <v>-6</v>
      </c>
      <c r="E158" s="363"/>
      <c r="F158" s="363">
        <v>-6</v>
      </c>
      <c r="G158" s="363">
        <f t="shared" si="14"/>
        <v>54</v>
      </c>
      <c r="H158" s="371"/>
    </row>
    <row r="159" s="351" customFormat="1" ht="26.25" customHeight="1" spans="1:8">
      <c r="A159" s="369" t="s">
        <v>1072</v>
      </c>
      <c r="B159" s="378" t="s">
        <v>1078</v>
      </c>
      <c r="C159" s="363">
        <v>450</v>
      </c>
      <c r="D159" s="363">
        <f t="shared" si="13"/>
        <v>-450</v>
      </c>
      <c r="E159" s="363"/>
      <c r="F159" s="373">
        <v>-450</v>
      </c>
      <c r="G159" s="363">
        <f t="shared" si="14"/>
        <v>0</v>
      </c>
      <c r="H159" s="371" t="s">
        <v>1009</v>
      </c>
    </row>
    <row r="160" s="351" customFormat="1" ht="26.25" customHeight="1" spans="1:8">
      <c r="A160" s="369" t="s">
        <v>1079</v>
      </c>
      <c r="B160" s="378" t="s">
        <v>1080</v>
      </c>
      <c r="C160" s="363">
        <v>116.06</v>
      </c>
      <c r="D160" s="363">
        <f t="shared" si="13"/>
        <v>79.55</v>
      </c>
      <c r="E160" s="363">
        <v>79.55</v>
      </c>
      <c r="F160" s="363"/>
      <c r="G160" s="363">
        <f t="shared" si="14"/>
        <v>195.61</v>
      </c>
      <c r="H160" s="371" t="s">
        <v>1081</v>
      </c>
    </row>
    <row r="161" s="351" customFormat="1" ht="26.25" customHeight="1" spans="1:8">
      <c r="A161" s="369" t="s">
        <v>1079</v>
      </c>
      <c r="B161" s="378" t="s">
        <v>896</v>
      </c>
      <c r="C161" s="363">
        <v>0</v>
      </c>
      <c r="D161" s="363">
        <f t="shared" si="13"/>
        <v>18</v>
      </c>
      <c r="E161" s="363">
        <v>18</v>
      </c>
      <c r="F161" s="363"/>
      <c r="G161" s="363">
        <f t="shared" si="14"/>
        <v>18</v>
      </c>
      <c r="H161" s="371"/>
    </row>
    <row r="162" s="351" customFormat="1" ht="26.25" customHeight="1" spans="1:8">
      <c r="A162" s="369" t="s">
        <v>1079</v>
      </c>
      <c r="B162" s="378" t="s">
        <v>1080</v>
      </c>
      <c r="C162" s="363">
        <v>0</v>
      </c>
      <c r="D162" s="363">
        <f t="shared" si="13"/>
        <v>150</v>
      </c>
      <c r="E162" s="363">
        <v>150</v>
      </c>
      <c r="F162" s="363"/>
      <c r="G162" s="363">
        <f t="shared" si="14"/>
        <v>150</v>
      </c>
      <c r="H162" s="371" t="s">
        <v>1082</v>
      </c>
    </row>
    <row r="163" s="351" customFormat="1" ht="26.25" customHeight="1" spans="1:8">
      <c r="A163" s="369" t="s">
        <v>1083</v>
      </c>
      <c r="B163" s="378" t="s">
        <v>1084</v>
      </c>
      <c r="C163" s="363">
        <v>90</v>
      </c>
      <c r="D163" s="363">
        <f t="shared" si="13"/>
        <v>30</v>
      </c>
      <c r="E163" s="363">
        <v>30</v>
      </c>
      <c r="F163" s="363"/>
      <c r="G163" s="363">
        <f t="shared" si="14"/>
        <v>120</v>
      </c>
      <c r="H163" s="371" t="s">
        <v>1085</v>
      </c>
    </row>
    <row r="164" s="351" customFormat="1" ht="26.25" customHeight="1" spans="1:8">
      <c r="A164" s="369" t="s">
        <v>1083</v>
      </c>
      <c r="B164" s="378" t="s">
        <v>1080</v>
      </c>
      <c r="C164" s="363">
        <v>658.2</v>
      </c>
      <c r="D164" s="363">
        <f t="shared" si="13"/>
        <v>-210</v>
      </c>
      <c r="E164" s="363"/>
      <c r="F164" s="373">
        <v>-210</v>
      </c>
      <c r="G164" s="363">
        <f t="shared" si="14"/>
        <v>448.2</v>
      </c>
      <c r="H164" s="371" t="s">
        <v>1009</v>
      </c>
    </row>
    <row r="165" s="351" customFormat="1" ht="26.25" customHeight="1" spans="1:8">
      <c r="A165" s="369" t="s">
        <v>1086</v>
      </c>
      <c r="B165" s="378" t="s">
        <v>1087</v>
      </c>
      <c r="C165" s="363">
        <v>0</v>
      </c>
      <c r="D165" s="363">
        <f t="shared" si="13"/>
        <v>30</v>
      </c>
      <c r="E165" s="363">
        <v>30</v>
      </c>
      <c r="F165" s="363"/>
      <c r="G165" s="363">
        <f t="shared" si="14"/>
        <v>30</v>
      </c>
      <c r="H165" s="371" t="s">
        <v>1009</v>
      </c>
    </row>
    <row r="166" s="351" customFormat="1" ht="26.25" customHeight="1" spans="1:8">
      <c r="A166" s="369" t="s">
        <v>1086</v>
      </c>
      <c r="B166" s="378" t="s">
        <v>1087</v>
      </c>
      <c r="C166" s="363">
        <v>0</v>
      </c>
      <c r="D166" s="363">
        <f t="shared" si="13"/>
        <v>136.93</v>
      </c>
      <c r="E166" s="363">
        <v>136.93</v>
      </c>
      <c r="F166" s="363"/>
      <c r="G166" s="363">
        <f t="shared" si="14"/>
        <v>136.93</v>
      </c>
      <c r="H166" s="371" t="s">
        <v>1088</v>
      </c>
    </row>
    <row r="167" s="351" customFormat="1" ht="26.25" customHeight="1" spans="1:8">
      <c r="A167" s="369" t="s">
        <v>1086</v>
      </c>
      <c r="B167" s="378" t="s">
        <v>1089</v>
      </c>
      <c r="C167" s="363">
        <v>32.1</v>
      </c>
      <c r="D167" s="363">
        <f t="shared" si="13"/>
        <v>-4.5</v>
      </c>
      <c r="E167" s="363"/>
      <c r="F167" s="363">
        <v>-4.5</v>
      </c>
      <c r="G167" s="363">
        <f t="shared" si="14"/>
        <v>27.6</v>
      </c>
      <c r="H167" s="371" t="s">
        <v>1090</v>
      </c>
    </row>
    <row r="168" s="351" customFormat="1" ht="26.25" customHeight="1" spans="1:8">
      <c r="A168" s="369" t="s">
        <v>1086</v>
      </c>
      <c r="B168" s="378" t="s">
        <v>1091</v>
      </c>
      <c r="C168" s="363">
        <v>1153</v>
      </c>
      <c r="D168" s="363">
        <f t="shared" si="13"/>
        <v>-500</v>
      </c>
      <c r="E168" s="363"/>
      <c r="F168" s="373">
        <v>-500</v>
      </c>
      <c r="G168" s="363">
        <f t="shared" si="14"/>
        <v>653</v>
      </c>
      <c r="H168" s="371" t="s">
        <v>1092</v>
      </c>
    </row>
    <row r="169" s="351" customFormat="1" ht="26.25" customHeight="1" spans="1:8">
      <c r="A169" s="369" t="s">
        <v>1093</v>
      </c>
      <c r="B169" s="378" t="s">
        <v>932</v>
      </c>
      <c r="C169" s="363">
        <v>55</v>
      </c>
      <c r="D169" s="363">
        <f t="shared" si="13"/>
        <v>-5.5</v>
      </c>
      <c r="E169" s="363"/>
      <c r="F169" s="363">
        <v>-5.5</v>
      </c>
      <c r="G169" s="363">
        <f t="shared" si="14"/>
        <v>49.5</v>
      </c>
      <c r="H169" s="371"/>
    </row>
    <row r="170" s="351" customFormat="1" ht="26.25" customHeight="1" spans="1:8">
      <c r="A170" s="369" t="s">
        <v>1094</v>
      </c>
      <c r="B170" s="378" t="s">
        <v>896</v>
      </c>
      <c r="C170" s="363">
        <v>0</v>
      </c>
      <c r="D170" s="363">
        <f t="shared" si="13"/>
        <v>18</v>
      </c>
      <c r="E170" s="363">
        <v>18</v>
      </c>
      <c r="F170" s="363"/>
      <c r="G170" s="363">
        <f t="shared" si="14"/>
        <v>18</v>
      </c>
      <c r="H170" s="371"/>
    </row>
    <row r="171" s="351" customFormat="1" ht="26.25" customHeight="1" spans="1:8">
      <c r="A171" s="369" t="s">
        <v>1094</v>
      </c>
      <c r="B171" s="378" t="s">
        <v>1095</v>
      </c>
      <c r="C171" s="363">
        <v>0</v>
      </c>
      <c r="D171" s="363">
        <f t="shared" si="13"/>
        <v>130</v>
      </c>
      <c r="E171" s="363">
        <v>130</v>
      </c>
      <c r="F171" s="363"/>
      <c r="G171" s="363">
        <f t="shared" si="14"/>
        <v>130</v>
      </c>
      <c r="H171" s="371" t="s">
        <v>1096</v>
      </c>
    </row>
    <row r="172" s="351" customFormat="1" ht="26.25" customHeight="1" spans="1:8">
      <c r="A172" s="369" t="s">
        <v>1097</v>
      </c>
      <c r="B172" s="378" t="s">
        <v>1089</v>
      </c>
      <c r="C172" s="363">
        <v>16</v>
      </c>
      <c r="D172" s="363">
        <f t="shared" si="13"/>
        <v>-2.87</v>
      </c>
      <c r="E172" s="363"/>
      <c r="F172" s="363">
        <v>-2.87</v>
      </c>
      <c r="G172" s="363">
        <f t="shared" si="14"/>
        <v>13.13</v>
      </c>
      <c r="H172" s="371" t="s">
        <v>1098</v>
      </c>
    </row>
    <row r="173" s="351" customFormat="1" ht="26.25" customHeight="1" spans="1:8">
      <c r="A173" s="369"/>
      <c r="B173" s="378" t="s">
        <v>1099</v>
      </c>
      <c r="C173" s="363">
        <v>450</v>
      </c>
      <c r="D173" s="363">
        <f t="shared" si="13"/>
        <v>170</v>
      </c>
      <c r="E173" s="363">
        <v>170</v>
      </c>
      <c r="F173" s="363"/>
      <c r="G173" s="363">
        <f t="shared" si="14"/>
        <v>620</v>
      </c>
      <c r="H173" s="371" t="s">
        <v>1100</v>
      </c>
    </row>
    <row r="174" s="351" customFormat="1" ht="26.25" customHeight="1" spans="1:8">
      <c r="A174" s="369"/>
      <c r="B174" s="378" t="s">
        <v>1101</v>
      </c>
      <c r="C174" s="363">
        <v>0</v>
      </c>
      <c r="D174" s="363">
        <f t="shared" si="13"/>
        <v>71.062105</v>
      </c>
      <c r="E174" s="363">
        <v>71.062105</v>
      </c>
      <c r="F174" s="363"/>
      <c r="G174" s="363">
        <f t="shared" si="14"/>
        <v>71.062105</v>
      </c>
      <c r="H174" s="371"/>
    </row>
    <row r="175" s="351" customFormat="1" ht="26.25" customHeight="1" spans="1:8">
      <c r="A175" s="369"/>
      <c r="B175" s="378" t="s">
        <v>1102</v>
      </c>
      <c r="C175" s="363">
        <v>1500</v>
      </c>
      <c r="D175" s="363">
        <f t="shared" si="13"/>
        <v>-300</v>
      </c>
      <c r="E175" s="363"/>
      <c r="F175" s="363">
        <v>-300</v>
      </c>
      <c r="G175" s="363">
        <f t="shared" si="14"/>
        <v>1200</v>
      </c>
      <c r="H175" s="371"/>
    </row>
    <row r="176" s="351" customFormat="1" ht="26.25" customHeight="1" spans="1:8">
      <c r="A176" s="369"/>
      <c r="B176" s="378" t="s">
        <v>1103</v>
      </c>
      <c r="C176" s="363">
        <v>300</v>
      </c>
      <c r="D176" s="363">
        <f t="shared" si="13"/>
        <v>-100</v>
      </c>
      <c r="E176" s="363"/>
      <c r="F176" s="363">
        <v>-100</v>
      </c>
      <c r="G176" s="363">
        <f t="shared" si="14"/>
        <v>200</v>
      </c>
      <c r="H176" s="371"/>
    </row>
    <row r="177" s="351" customFormat="1" ht="26.25" customHeight="1" spans="1:8">
      <c r="A177" s="369"/>
      <c r="B177" s="378" t="s">
        <v>1104</v>
      </c>
      <c r="C177" s="363">
        <v>1600</v>
      </c>
      <c r="D177" s="363">
        <f t="shared" si="13"/>
        <v>100</v>
      </c>
      <c r="E177" s="363">
        <v>100</v>
      </c>
      <c r="F177" s="363"/>
      <c r="G177" s="363">
        <f t="shared" si="14"/>
        <v>1700</v>
      </c>
      <c r="H177" s="371"/>
    </row>
    <row r="178" s="351" customFormat="1" ht="26.25" customHeight="1" spans="1:8">
      <c r="A178" s="369"/>
      <c r="B178" s="378" t="s">
        <v>891</v>
      </c>
      <c r="C178" s="363">
        <v>4400</v>
      </c>
      <c r="D178" s="363">
        <f t="shared" si="13"/>
        <v>-4400</v>
      </c>
      <c r="E178" s="363"/>
      <c r="F178" s="375">
        <v>-4400</v>
      </c>
      <c r="G178" s="363">
        <f t="shared" si="14"/>
        <v>0</v>
      </c>
      <c r="H178" s="371"/>
    </row>
    <row r="179" s="351" customFormat="1" ht="26.25" customHeight="1" spans="1:8">
      <c r="A179" s="369"/>
      <c r="B179" s="378" t="s">
        <v>1105</v>
      </c>
      <c r="C179" s="363">
        <v>3000</v>
      </c>
      <c r="D179" s="363">
        <f t="shared" si="13"/>
        <v>-3000</v>
      </c>
      <c r="E179" s="363"/>
      <c r="F179" s="375">
        <v>-3000</v>
      </c>
      <c r="G179" s="363">
        <f t="shared" si="14"/>
        <v>0</v>
      </c>
      <c r="H179" s="371"/>
    </row>
    <row r="180" s="351" customFormat="1" ht="26.25" customHeight="1" spans="1:8">
      <c r="A180" s="369"/>
      <c r="B180" s="378" t="s">
        <v>1106</v>
      </c>
      <c r="C180" s="363">
        <v>1000</v>
      </c>
      <c r="D180" s="363">
        <f t="shared" si="13"/>
        <v>-1000</v>
      </c>
      <c r="E180" s="363"/>
      <c r="F180" s="375">
        <v>-1000</v>
      </c>
      <c r="G180" s="363">
        <f t="shared" si="14"/>
        <v>0</v>
      </c>
      <c r="H180" s="371" t="s">
        <v>1107</v>
      </c>
    </row>
    <row r="181" s="351" customFormat="1" ht="26.25" customHeight="1" spans="1:8">
      <c r="A181" s="369"/>
      <c r="B181" s="378" t="s">
        <v>1108</v>
      </c>
      <c r="C181" s="363">
        <v>1000</v>
      </c>
      <c r="D181" s="363">
        <f t="shared" si="13"/>
        <v>-888</v>
      </c>
      <c r="E181" s="363"/>
      <c r="F181" s="375">
        <v>-888</v>
      </c>
      <c r="G181" s="363">
        <f t="shared" si="14"/>
        <v>112</v>
      </c>
      <c r="H181" s="371"/>
    </row>
    <row r="182" s="351" customFormat="1" ht="26.25" customHeight="1" spans="1:8">
      <c r="A182" s="369"/>
      <c r="B182" s="378" t="s">
        <v>1109</v>
      </c>
      <c r="C182" s="363">
        <v>1500</v>
      </c>
      <c r="D182" s="363">
        <f t="shared" si="13"/>
        <v>-520</v>
      </c>
      <c r="E182" s="363"/>
      <c r="F182" s="375">
        <v>-520</v>
      </c>
      <c r="G182" s="363">
        <f t="shared" si="14"/>
        <v>980</v>
      </c>
      <c r="H182" s="371" t="s">
        <v>1110</v>
      </c>
    </row>
    <row r="183" s="351" customFormat="1" ht="26.25" customHeight="1" spans="1:8">
      <c r="A183" s="369"/>
      <c r="B183" s="378" t="s">
        <v>1111</v>
      </c>
      <c r="C183" s="363">
        <v>3940</v>
      </c>
      <c r="D183" s="363">
        <f t="shared" si="13"/>
        <v>-590</v>
      </c>
      <c r="E183" s="363"/>
      <c r="F183" s="376">
        <v>-590</v>
      </c>
      <c r="G183" s="363">
        <f t="shared" si="14"/>
        <v>3350</v>
      </c>
      <c r="H183" s="371"/>
    </row>
    <row r="184" s="351" customFormat="1" ht="26.25" customHeight="1" spans="1:8">
      <c r="A184" s="369"/>
      <c r="B184" s="378" t="s">
        <v>1112</v>
      </c>
      <c r="C184" s="363">
        <v>1600</v>
      </c>
      <c r="D184" s="363">
        <f t="shared" si="13"/>
        <v>-1600</v>
      </c>
      <c r="E184" s="363"/>
      <c r="F184" s="376">
        <v>-1600</v>
      </c>
      <c r="G184" s="363">
        <f t="shared" si="14"/>
        <v>0</v>
      </c>
      <c r="H184" s="371" t="s">
        <v>1113</v>
      </c>
    </row>
  </sheetData>
  <autoFilter ref="A1:H184">
    <extLst/>
  </autoFilter>
  <mergeCells count="7">
    <mergeCell ref="A1:H1"/>
    <mergeCell ref="D3:F3"/>
    <mergeCell ref="A3:A4"/>
    <mergeCell ref="B3:B4"/>
    <mergeCell ref="C3:C4"/>
    <mergeCell ref="G3:G4"/>
    <mergeCell ref="H3:H4"/>
  </mergeCells>
  <printOptions horizontalCentered="1"/>
  <pageMargins left="0.393055555555556" right="0.393055555555556" top="0.590277777777778" bottom="0.393055555555556" header="0.393055555555556" footer="0.196527777777778"/>
  <pageSetup paperSize="9" scale="79" firstPageNumber="33" fitToHeight="0" orientation="portrait" useFirstPageNumber="1" horizontalDpi="600"/>
  <headerFooter>
    <oddHeader>&amp;L&amp;"黑体"&amp;12&amp;B表五：</oddHead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H59"/>
  <sheetViews>
    <sheetView topLeftCell="A2" workbookViewId="0">
      <selection activeCell="N8" sqref="N8"/>
    </sheetView>
  </sheetViews>
  <sheetFormatPr defaultColWidth="9" defaultRowHeight="13.5" outlineLevelCol="7"/>
  <cols>
    <col min="1" max="1" width="30.625" style="301" customWidth="1"/>
    <col min="2" max="2" width="8.625" style="302" customWidth="1"/>
    <col min="3" max="4" width="8.625" style="298" customWidth="1"/>
    <col min="5" max="5" width="30.625" style="301" customWidth="1"/>
    <col min="6" max="8" width="8.625" style="298" customWidth="1"/>
    <col min="9" max="9" width="6.125" style="298" customWidth="1"/>
    <col min="10" max="16384" width="9" style="298"/>
  </cols>
  <sheetData>
    <row r="1" s="298" customFormat="1" ht="7.5" customHeight="1" spans="1:5">
      <c r="A1" s="301"/>
      <c r="B1" s="302"/>
      <c r="E1" s="301"/>
    </row>
    <row r="2" s="298" customFormat="1" ht="30" customHeight="1" spans="1:8">
      <c r="A2" s="303" t="s">
        <v>1114</v>
      </c>
      <c r="B2" s="303"/>
      <c r="C2" s="303"/>
      <c r="D2" s="303"/>
      <c r="E2" s="303"/>
      <c r="F2" s="303"/>
      <c r="G2" s="303"/>
      <c r="H2" s="303"/>
    </row>
    <row r="3" s="299" customFormat="1" ht="18" customHeight="1" spans="1:8">
      <c r="A3" s="304"/>
      <c r="B3" s="305"/>
      <c r="E3" s="306"/>
      <c r="H3" s="307" t="s">
        <v>1</v>
      </c>
    </row>
    <row r="4" s="300" customFormat="1" ht="24" customHeight="1" spans="1:8">
      <c r="A4" s="308" t="s">
        <v>1115</v>
      </c>
      <c r="B4" s="309"/>
      <c r="C4" s="309"/>
      <c r="D4" s="309"/>
      <c r="E4" s="308" t="s">
        <v>1116</v>
      </c>
      <c r="F4" s="309"/>
      <c r="G4" s="309"/>
      <c r="H4" s="309"/>
    </row>
    <row r="5" s="301" customFormat="1" ht="36" customHeight="1" spans="1:8">
      <c r="A5" s="310" t="s">
        <v>1117</v>
      </c>
      <c r="B5" s="311" t="s">
        <v>1118</v>
      </c>
      <c r="C5" s="312" t="s">
        <v>4</v>
      </c>
      <c r="D5" s="312" t="s">
        <v>1119</v>
      </c>
      <c r="E5" s="310" t="s">
        <v>1117</v>
      </c>
      <c r="F5" s="311" t="s">
        <v>1118</v>
      </c>
      <c r="G5" s="312" t="s">
        <v>4</v>
      </c>
      <c r="H5" s="313" t="s">
        <v>1119</v>
      </c>
    </row>
    <row r="6" s="298" customFormat="1" ht="26.25" customHeight="1" spans="1:8">
      <c r="A6" s="314" t="s">
        <v>1120</v>
      </c>
      <c r="B6" s="315"/>
      <c r="C6" s="316"/>
      <c r="D6" s="316"/>
      <c r="E6" s="314" t="s">
        <v>1121</v>
      </c>
      <c r="F6" s="316">
        <f t="shared" ref="F6:H6" si="0">SUM(,F7,F24,F28:F29,F33,F37)</f>
        <v>221861</v>
      </c>
      <c r="G6" s="316">
        <f t="shared" si="0"/>
        <v>205350</v>
      </c>
      <c r="H6" s="316">
        <f t="shared" si="0"/>
        <v>558068</v>
      </c>
    </row>
    <row r="7" s="298" customFormat="1" ht="26.25" customHeight="1" spans="1:8">
      <c r="A7" s="314" t="s">
        <v>1122</v>
      </c>
      <c r="B7" s="315"/>
      <c r="C7" s="316"/>
      <c r="D7" s="316"/>
      <c r="E7" s="317" t="s">
        <v>1123</v>
      </c>
      <c r="F7" s="316">
        <f t="shared" ref="F7:H7" si="1">SUM(F8:F23)</f>
        <v>214734</v>
      </c>
      <c r="G7" s="316">
        <f t="shared" si="1"/>
        <v>204850</v>
      </c>
      <c r="H7" s="316">
        <f t="shared" si="1"/>
        <v>406177</v>
      </c>
    </row>
    <row r="8" s="298" customFormat="1" ht="26.25" customHeight="1" spans="1:8">
      <c r="A8" s="314" t="s">
        <v>1124</v>
      </c>
      <c r="B8" s="315"/>
      <c r="C8" s="316"/>
      <c r="D8" s="316"/>
      <c r="E8" s="318" t="s">
        <v>1125</v>
      </c>
      <c r="F8" s="316">
        <f>[15]支出表!E11</f>
        <v>17724</v>
      </c>
      <c r="G8" s="316">
        <f>[14]基金支出项目表!F12</f>
        <v>54448</v>
      </c>
      <c r="H8" s="316">
        <v>32963</v>
      </c>
    </row>
    <row r="9" s="298" customFormat="1" ht="26.25" customHeight="1" spans="1:8">
      <c r="A9" s="314" t="s">
        <v>1126</v>
      </c>
      <c r="B9" s="315"/>
      <c r="C9" s="316"/>
      <c r="D9" s="316"/>
      <c r="E9" s="318" t="s">
        <v>1127</v>
      </c>
      <c r="F9" s="316">
        <f>[15]支出表!E12</f>
        <v>31833</v>
      </c>
      <c r="G9" s="316">
        <f>[14]基金支出项目表!F57</f>
        <v>2000</v>
      </c>
      <c r="H9" s="316">
        <v>29181</v>
      </c>
    </row>
    <row r="10" s="298" customFormat="1" ht="26.25" customHeight="1" spans="1:8">
      <c r="A10" s="314" t="s">
        <v>1128</v>
      </c>
      <c r="B10" s="315"/>
      <c r="C10" s="316"/>
      <c r="D10" s="316"/>
      <c r="E10" s="318" t="s">
        <v>1129</v>
      </c>
      <c r="F10" s="316">
        <f>[15]支出表!E13</f>
        <v>72860</v>
      </c>
      <c r="G10" s="316">
        <f>[14]基金支出项目表!F59</f>
        <v>66355</v>
      </c>
      <c r="H10" s="316">
        <v>19889</v>
      </c>
    </row>
    <row r="11" s="298" customFormat="1" ht="26.25" customHeight="1" spans="1:8">
      <c r="A11" s="314" t="s">
        <v>1130</v>
      </c>
      <c r="B11" s="316">
        <f>SUM(B12:B16)</f>
        <v>0</v>
      </c>
      <c r="C11" s="316">
        <f>SUM(C12:C16)</f>
        <v>0</v>
      </c>
      <c r="D11" s="316">
        <f>SUM(D12:D16)</f>
        <v>0</v>
      </c>
      <c r="E11" s="318" t="s">
        <v>1131</v>
      </c>
      <c r="F11" s="316"/>
      <c r="G11" s="316"/>
      <c r="H11" s="319"/>
    </row>
    <row r="12" s="298" customFormat="1" ht="26.25" customHeight="1" spans="1:8">
      <c r="A12" s="320" t="s">
        <v>1132</v>
      </c>
      <c r="B12" s="321"/>
      <c r="C12" s="316"/>
      <c r="D12" s="316"/>
      <c r="E12" s="318" t="s">
        <v>1133</v>
      </c>
      <c r="F12" s="316">
        <f>[15]支出表!E14</f>
        <v>2872</v>
      </c>
      <c r="G12" s="316">
        <f>[14]基金支出项目表!F71</f>
        <v>6680</v>
      </c>
      <c r="H12" s="316">
        <v>4200</v>
      </c>
    </row>
    <row r="13" s="298" customFormat="1" ht="26.25" customHeight="1" spans="1:8">
      <c r="A13" s="320" t="s">
        <v>1134</v>
      </c>
      <c r="B13" s="321"/>
      <c r="C13" s="316"/>
      <c r="D13" s="316"/>
      <c r="E13" s="318" t="s">
        <v>1135</v>
      </c>
      <c r="F13" s="316">
        <f>[15]支出表!E15</f>
        <v>756</v>
      </c>
      <c r="G13" s="316">
        <f>[14]基金支出项目表!F77</f>
        <v>1038</v>
      </c>
      <c r="H13" s="316">
        <v>709</v>
      </c>
    </row>
    <row r="14" s="298" customFormat="1" ht="26.25" customHeight="1" spans="1:8">
      <c r="A14" s="320" t="s">
        <v>1136</v>
      </c>
      <c r="B14" s="321"/>
      <c r="C14" s="316"/>
      <c r="D14" s="316"/>
      <c r="E14" s="318" t="s">
        <v>1137</v>
      </c>
      <c r="F14" s="316">
        <f>[15]支出表!E16</f>
        <v>857</v>
      </c>
      <c r="G14" s="316">
        <f>[14]基金支出项目表!F82</f>
        <v>760</v>
      </c>
      <c r="H14" s="316">
        <v>560</v>
      </c>
    </row>
    <row r="15" s="298" customFormat="1" ht="26.25" customHeight="1" spans="1:8">
      <c r="A15" s="320" t="s">
        <v>1138</v>
      </c>
      <c r="B15" s="321"/>
      <c r="C15" s="316"/>
      <c r="D15" s="316"/>
      <c r="E15" s="322" t="s">
        <v>1139</v>
      </c>
      <c r="F15" s="316"/>
      <c r="G15" s="316"/>
      <c r="H15" s="316"/>
    </row>
    <row r="16" s="298" customFormat="1" ht="26.25" customHeight="1" spans="1:8">
      <c r="A16" s="320" t="s">
        <v>1140</v>
      </c>
      <c r="B16" s="321"/>
      <c r="C16" s="316"/>
      <c r="D16" s="316"/>
      <c r="E16" s="318" t="s">
        <v>1141</v>
      </c>
      <c r="F16" s="316"/>
      <c r="G16" s="316"/>
      <c r="H16" s="316"/>
    </row>
    <row r="17" s="298" customFormat="1" ht="26.25" customHeight="1" spans="1:8">
      <c r="A17" s="314" t="s">
        <v>1142</v>
      </c>
      <c r="B17" s="315"/>
      <c r="C17" s="316"/>
      <c r="D17" s="316"/>
      <c r="E17" s="318" t="s">
        <v>1143</v>
      </c>
      <c r="F17" s="316">
        <f>[15]支出表!E17</f>
        <v>82894</v>
      </c>
      <c r="G17" s="316">
        <f>[14]基金支出项目表!F86</f>
        <v>67431</v>
      </c>
      <c r="H17" s="316">
        <v>314942</v>
      </c>
    </row>
    <row r="18" s="298" customFormat="1" ht="26.25" customHeight="1" spans="1:8">
      <c r="A18" s="314" t="s">
        <v>1144</v>
      </c>
      <c r="B18" s="323">
        <f>[15]收入表!F6</f>
        <v>7216</v>
      </c>
      <c r="C18" s="324"/>
      <c r="D18" s="324"/>
      <c r="E18" s="318" t="s">
        <v>1145</v>
      </c>
      <c r="F18" s="325"/>
      <c r="G18" s="326"/>
      <c r="H18" s="319"/>
    </row>
    <row r="19" s="298" customFormat="1" ht="26.25" customHeight="1" spans="1:8">
      <c r="A19" s="314" t="s">
        <v>1146</v>
      </c>
      <c r="B19" s="315"/>
      <c r="C19" s="324"/>
      <c r="D19" s="324"/>
      <c r="E19" s="318" t="s">
        <v>1147</v>
      </c>
      <c r="F19" s="325"/>
      <c r="G19" s="316"/>
      <c r="H19" s="319"/>
    </row>
    <row r="20" s="298" customFormat="1" ht="26.25" customHeight="1" spans="1:8">
      <c r="A20" s="314" t="s">
        <v>1148</v>
      </c>
      <c r="B20" s="327">
        <f>SUM(B21:B27)</f>
        <v>248474</v>
      </c>
      <c r="C20" s="328">
        <f>SUM(C21:C27)</f>
        <v>266000</v>
      </c>
      <c r="D20" s="328">
        <f>SUM(D21:D27)</f>
        <v>175900</v>
      </c>
      <c r="E20" s="318" t="s">
        <v>1149</v>
      </c>
      <c r="F20" s="316">
        <f>[15]支出表!E18</f>
        <v>4738</v>
      </c>
      <c r="G20" s="316">
        <f>[14]基金支出项目表!F96</f>
        <v>5400</v>
      </c>
      <c r="H20" s="319">
        <v>3600</v>
      </c>
    </row>
    <row r="21" s="298" customFormat="1" ht="26.25" customHeight="1" spans="1:8">
      <c r="A21" s="320" t="s">
        <v>1150</v>
      </c>
      <c r="B21" s="323">
        <f>[15]收入表!F8</f>
        <v>247995</v>
      </c>
      <c r="C21" s="324">
        <f>[14]收入表!G8</f>
        <v>267000</v>
      </c>
      <c r="D21" s="324">
        <v>173900</v>
      </c>
      <c r="E21" s="318" t="s">
        <v>1151</v>
      </c>
      <c r="F21" s="316">
        <f>[15]支出表!E19</f>
        <v>0</v>
      </c>
      <c r="G21" s="316">
        <f>[14]基金支出项目表!F99</f>
        <v>200</v>
      </c>
      <c r="H21" s="319">
        <v>133</v>
      </c>
    </row>
    <row r="22" s="298" customFormat="1" ht="26.25" customHeight="1" spans="1:8">
      <c r="A22" s="320" t="s">
        <v>1152</v>
      </c>
      <c r="B22" s="323"/>
      <c r="C22" s="324"/>
      <c r="D22" s="324"/>
      <c r="E22" s="318" t="s">
        <v>1153</v>
      </c>
      <c r="F22" s="316">
        <f>[15]支出表!E20</f>
        <v>200</v>
      </c>
      <c r="G22" s="316">
        <f>[14]基金支出项目表!F101</f>
        <v>538</v>
      </c>
      <c r="H22" s="319"/>
    </row>
    <row r="23" s="298" customFormat="1" ht="26.25" customHeight="1" spans="1:8">
      <c r="A23" s="320" t="s">
        <v>1154</v>
      </c>
      <c r="B23" s="323">
        <f>[15]收入表!F9</f>
        <v>1592</v>
      </c>
      <c r="C23" s="324">
        <f>[14]收入表!G9</f>
        <v>1000</v>
      </c>
      <c r="D23" s="324"/>
      <c r="E23" s="318" t="s">
        <v>1155</v>
      </c>
      <c r="F23" s="325"/>
      <c r="G23" s="316"/>
      <c r="H23" s="319"/>
    </row>
    <row r="24" s="298" customFormat="1" ht="26.25" customHeight="1" spans="1:8">
      <c r="A24" s="329" t="s">
        <v>1156</v>
      </c>
      <c r="B24" s="323"/>
      <c r="C24" s="324"/>
      <c r="D24" s="324"/>
      <c r="E24" s="317" t="s">
        <v>1157</v>
      </c>
      <c r="F24" s="316">
        <f>F25+F26+F27</f>
        <v>6994</v>
      </c>
      <c r="G24" s="330">
        <f>G25+G26+G27</f>
        <v>0</v>
      </c>
      <c r="H24" s="330">
        <f>H25+H26+H27</f>
        <v>0</v>
      </c>
    </row>
    <row r="25" s="298" customFormat="1" ht="26.25" customHeight="1" spans="1:8">
      <c r="A25" s="329" t="s">
        <v>1158</v>
      </c>
      <c r="B25" s="323"/>
      <c r="C25" s="324"/>
      <c r="D25" s="324"/>
      <c r="E25" s="318" t="s">
        <v>1159</v>
      </c>
      <c r="F25" s="316">
        <f>[15]支出表!E6</f>
        <v>6994</v>
      </c>
      <c r="G25" s="324"/>
      <c r="H25" s="319"/>
    </row>
    <row r="26" s="298" customFormat="1" ht="26.25" customHeight="1" spans="1:8">
      <c r="A26" s="320" t="s">
        <v>1160</v>
      </c>
      <c r="B26" s="323">
        <f>[15]收入表!F10</f>
        <v>-1113</v>
      </c>
      <c r="C26" s="324">
        <v>-2000</v>
      </c>
      <c r="D26" s="324">
        <f>[15]收入表!H10</f>
        <v>-2000</v>
      </c>
      <c r="E26" s="318" t="s">
        <v>1161</v>
      </c>
      <c r="F26" s="316"/>
      <c r="G26" s="331"/>
      <c r="H26" s="319"/>
    </row>
    <row r="27" s="298" customFormat="1" ht="26.25" customHeight="1" spans="1:8">
      <c r="A27" s="320" t="s">
        <v>1162</v>
      </c>
      <c r="B27" s="330"/>
      <c r="C27" s="316"/>
      <c r="D27" s="316">
        <v>4000</v>
      </c>
      <c r="E27" s="318" t="s">
        <v>1163</v>
      </c>
      <c r="F27" s="325"/>
      <c r="G27" s="324"/>
      <c r="H27" s="319"/>
    </row>
    <row r="28" s="298" customFormat="1" ht="26.25" customHeight="1" spans="1:8">
      <c r="A28" s="314" t="s">
        <v>1164</v>
      </c>
      <c r="B28" s="330">
        <f>[15]收入表!F12</f>
        <v>2133</v>
      </c>
      <c r="C28" s="316">
        <f>[14]收入表!G12</f>
        <v>1000</v>
      </c>
      <c r="D28" s="316">
        <v>1700</v>
      </c>
      <c r="E28" s="317" t="s">
        <v>1165</v>
      </c>
      <c r="F28" s="332"/>
      <c r="G28" s="331"/>
      <c r="H28" s="319"/>
    </row>
    <row r="29" s="298" customFormat="1" ht="26.25" customHeight="1" spans="1:8">
      <c r="A29" s="314" t="s">
        <v>1166</v>
      </c>
      <c r="B29" s="327"/>
      <c r="C29" s="333"/>
      <c r="D29" s="333"/>
      <c r="E29" s="317" t="s">
        <v>1167</v>
      </c>
      <c r="F29" s="332"/>
      <c r="G29" s="316"/>
      <c r="H29" s="319"/>
    </row>
    <row r="30" s="298" customFormat="1" ht="26.25" customHeight="1" spans="1:8">
      <c r="A30" s="314" t="s">
        <v>1168</v>
      </c>
      <c r="B30" s="315"/>
      <c r="C30" s="316"/>
      <c r="D30" s="316"/>
      <c r="E30" s="318" t="s">
        <v>1169</v>
      </c>
      <c r="F30" s="325"/>
      <c r="G30" s="316"/>
      <c r="H30" s="319"/>
    </row>
    <row r="31" s="298" customFormat="1" ht="26.25" customHeight="1" spans="1:8">
      <c r="A31" s="334"/>
      <c r="B31" s="335"/>
      <c r="C31" s="336"/>
      <c r="D31" s="336"/>
      <c r="E31" s="318" t="s">
        <v>1170</v>
      </c>
      <c r="F31" s="325"/>
      <c r="G31" s="316"/>
      <c r="H31" s="319"/>
    </row>
    <row r="32" s="298" customFormat="1" ht="26.25" customHeight="1" spans="1:8">
      <c r="A32" s="334"/>
      <c r="B32" s="335"/>
      <c r="C32" s="336"/>
      <c r="D32" s="336"/>
      <c r="E32" s="318" t="s">
        <v>1171</v>
      </c>
      <c r="F32" s="325"/>
      <c r="G32" s="316"/>
      <c r="H32" s="319"/>
    </row>
    <row r="33" s="298" customFormat="1" ht="26.25" customHeight="1" spans="1:8">
      <c r="A33" s="334"/>
      <c r="B33" s="335"/>
      <c r="C33" s="336"/>
      <c r="D33" s="336"/>
      <c r="E33" s="317" t="s">
        <v>1172</v>
      </c>
      <c r="F33" s="332">
        <f t="shared" ref="F33:H33" si="2">SUM(F34:F36)</f>
        <v>133</v>
      </c>
      <c r="G33" s="316">
        <f t="shared" si="2"/>
        <v>500</v>
      </c>
      <c r="H33" s="316">
        <f t="shared" si="2"/>
        <v>1700</v>
      </c>
    </row>
    <row r="34" s="298" customFormat="1" ht="26.25" customHeight="1" spans="1:8">
      <c r="A34" s="334"/>
      <c r="B34" s="335"/>
      <c r="C34" s="336"/>
      <c r="D34" s="336"/>
      <c r="E34" s="318" t="s">
        <v>1173</v>
      </c>
      <c r="F34" s="325"/>
      <c r="G34" s="316"/>
      <c r="H34" s="337"/>
    </row>
    <row r="35" s="298" customFormat="1" ht="26.25" customHeight="1" spans="1:8">
      <c r="A35" s="334"/>
      <c r="B35" s="335"/>
      <c r="C35" s="336"/>
      <c r="D35" s="336"/>
      <c r="E35" s="318" t="s">
        <v>1174</v>
      </c>
      <c r="F35" s="325"/>
      <c r="G35" s="316"/>
      <c r="H35" s="319"/>
    </row>
    <row r="36" s="298" customFormat="1" ht="26.25" customHeight="1" spans="1:8">
      <c r="A36" s="334"/>
      <c r="B36" s="335"/>
      <c r="C36" s="336"/>
      <c r="D36" s="336"/>
      <c r="E36" s="318" t="s">
        <v>1175</v>
      </c>
      <c r="F36" s="332">
        <f>[15]支出表!E22</f>
        <v>133</v>
      </c>
      <c r="G36" s="316">
        <f>[14]支出表!F21</f>
        <v>500</v>
      </c>
      <c r="H36" s="319">
        <v>1700</v>
      </c>
    </row>
    <row r="37" s="298" customFormat="1" ht="26.25" customHeight="1" spans="1:8">
      <c r="A37" s="334"/>
      <c r="B37" s="335"/>
      <c r="C37" s="336"/>
      <c r="D37" s="336"/>
      <c r="E37" s="317" t="s">
        <v>1176</v>
      </c>
      <c r="F37" s="337">
        <f t="shared" ref="F37:H37" si="3">SUM(F38)</f>
        <v>0</v>
      </c>
      <c r="G37" s="337">
        <f t="shared" si="3"/>
        <v>0</v>
      </c>
      <c r="H37" s="337">
        <f t="shared" si="3"/>
        <v>150191</v>
      </c>
    </row>
    <row r="38" s="298" customFormat="1" ht="26.25" customHeight="1" spans="1:8">
      <c r="A38" s="334"/>
      <c r="B38" s="335"/>
      <c r="C38" s="336"/>
      <c r="D38" s="336"/>
      <c r="E38" s="318" t="s">
        <v>1177</v>
      </c>
      <c r="F38" s="337"/>
      <c r="G38" s="337"/>
      <c r="H38" s="316">
        <v>150191</v>
      </c>
    </row>
    <row r="39" s="298" customFormat="1" ht="26.25" customHeight="1" spans="1:8">
      <c r="A39" s="334"/>
      <c r="B39" s="335"/>
      <c r="C39" s="336"/>
      <c r="D39" s="336"/>
      <c r="E39" s="338" t="s">
        <v>1178</v>
      </c>
      <c r="F39" s="337">
        <f t="shared" ref="F39:H39" si="4">SUM(F40:F41)</f>
        <v>49144</v>
      </c>
      <c r="G39" s="337">
        <f t="shared" si="4"/>
        <v>0</v>
      </c>
      <c r="H39" s="337">
        <f t="shared" si="4"/>
        <v>103</v>
      </c>
    </row>
    <row r="40" s="298" customFormat="1" ht="26.25" customHeight="1" spans="1:8">
      <c r="A40" s="334"/>
      <c r="B40" s="335"/>
      <c r="C40" s="336"/>
      <c r="D40" s="336"/>
      <c r="E40" s="317" t="s">
        <v>1179</v>
      </c>
      <c r="F40" s="337">
        <v>48700</v>
      </c>
      <c r="G40" s="337"/>
      <c r="H40" s="337"/>
    </row>
    <row r="41" s="298" customFormat="1" ht="26.25" customHeight="1" spans="1:8">
      <c r="A41" s="334"/>
      <c r="B41" s="335"/>
      <c r="C41" s="336"/>
      <c r="D41" s="336"/>
      <c r="E41" s="317" t="s">
        <v>1180</v>
      </c>
      <c r="F41" s="337">
        <f t="shared" ref="F41:H41" si="5">SUM(F42:F45)</f>
        <v>444</v>
      </c>
      <c r="G41" s="337">
        <f t="shared" si="5"/>
        <v>0</v>
      </c>
      <c r="H41" s="337">
        <f t="shared" si="5"/>
        <v>103</v>
      </c>
    </row>
    <row r="42" s="298" customFormat="1" ht="26.25" customHeight="1" spans="1:8">
      <c r="A42" s="334"/>
      <c r="B42" s="335"/>
      <c r="C42" s="336"/>
      <c r="D42" s="336"/>
      <c r="E42" s="320" t="s">
        <v>1181</v>
      </c>
      <c r="F42" s="337">
        <f>[15]支出表!E27</f>
        <v>252</v>
      </c>
      <c r="G42" s="337"/>
      <c r="H42" s="319">
        <f>[15]支出表!G27</f>
        <v>49</v>
      </c>
    </row>
    <row r="43" s="298" customFormat="1" ht="26.25" customHeight="1" spans="1:8">
      <c r="A43" s="334"/>
      <c r="B43" s="335"/>
      <c r="C43" s="339"/>
      <c r="D43" s="339"/>
      <c r="E43" s="320" t="s">
        <v>1182</v>
      </c>
      <c r="F43" s="337">
        <f>[15]支出表!E28</f>
        <v>153</v>
      </c>
      <c r="G43" s="337"/>
      <c r="H43" s="319">
        <f>[15]支出表!G28</f>
        <v>2</v>
      </c>
    </row>
    <row r="44" s="298" customFormat="1" ht="26.25" customHeight="1" spans="1:8">
      <c r="A44" s="334"/>
      <c r="B44" s="335"/>
      <c r="C44" s="339"/>
      <c r="D44" s="339"/>
      <c r="E44" s="320" t="s">
        <v>1183</v>
      </c>
      <c r="F44" s="337">
        <f>[15]支出表!E29</f>
        <v>39</v>
      </c>
      <c r="G44" s="337"/>
      <c r="H44" s="319">
        <v>52</v>
      </c>
    </row>
    <row r="45" s="298" customFormat="1" ht="26.25" customHeight="1" spans="1:8">
      <c r="A45" s="334"/>
      <c r="B45" s="335"/>
      <c r="C45" s="339"/>
      <c r="D45" s="339"/>
      <c r="E45" s="320" t="s">
        <v>1184</v>
      </c>
      <c r="F45" s="337"/>
      <c r="G45" s="337"/>
      <c r="H45" s="319"/>
    </row>
    <row r="46" s="298" customFormat="1" ht="26.25" customHeight="1" spans="1:8">
      <c r="A46" s="334"/>
      <c r="B46" s="335"/>
      <c r="C46" s="339"/>
      <c r="D46" s="339"/>
      <c r="E46" s="314" t="s">
        <v>1185</v>
      </c>
      <c r="F46" s="332">
        <f t="shared" ref="F46:H46" si="6">F47</f>
        <v>10536</v>
      </c>
      <c r="G46" s="337">
        <f t="shared" si="6"/>
        <v>14034</v>
      </c>
      <c r="H46" s="337">
        <f t="shared" si="6"/>
        <v>11620</v>
      </c>
    </row>
    <row r="47" s="298" customFormat="1" ht="26.25" customHeight="1" spans="1:8">
      <c r="A47" s="334"/>
      <c r="B47" s="335"/>
      <c r="C47" s="339"/>
      <c r="D47" s="339"/>
      <c r="E47" s="340" t="s">
        <v>1186</v>
      </c>
      <c r="F47" s="341">
        <f>[15]支出表!E31</f>
        <v>10536</v>
      </c>
      <c r="G47" s="337">
        <f>[14]基金支出项目表!F110</f>
        <v>14034</v>
      </c>
      <c r="H47" s="342">
        <f>[17]基金支出项目表!H145</f>
        <v>11620</v>
      </c>
    </row>
    <row r="48" s="298" customFormat="1" ht="26.25" customHeight="1" spans="1:8">
      <c r="A48" s="334"/>
      <c r="B48" s="335"/>
      <c r="C48" s="339"/>
      <c r="D48" s="339"/>
      <c r="E48" s="343" t="s">
        <v>1187</v>
      </c>
      <c r="F48" s="332">
        <f>[15]支出表!E33</f>
        <v>57</v>
      </c>
      <c r="G48" s="332">
        <f>[14]支出表!F33</f>
        <v>52</v>
      </c>
      <c r="H48" s="332">
        <v>51</v>
      </c>
    </row>
    <row r="49" s="298" customFormat="1" ht="26.25" customHeight="1" spans="1:8">
      <c r="A49" s="344" t="s">
        <v>1188</v>
      </c>
      <c r="B49" s="330">
        <f>SUM(B6:B11,B17:B20,B28:B30)</f>
        <v>257823</v>
      </c>
      <c r="C49" s="316">
        <f>SUM(C6:C11,C17:C20,C28:C30)</f>
        <v>267000</v>
      </c>
      <c r="D49" s="316">
        <f>SUM(D6:D11,D17:D20,D28:D30)</f>
        <v>177600</v>
      </c>
      <c r="E49" s="344" t="s">
        <v>1189</v>
      </c>
      <c r="F49" s="332">
        <f>F6+F39+F48+F46</f>
        <v>281598</v>
      </c>
      <c r="G49" s="332">
        <f>G6+G37+G39+G48+G46</f>
        <v>219436</v>
      </c>
      <c r="H49" s="332">
        <f>H6+H39+H48+H46</f>
        <v>569842</v>
      </c>
    </row>
    <row r="50" s="298" customFormat="1" ht="26.25" customHeight="1" spans="1:8">
      <c r="A50" s="345" t="s">
        <v>1190</v>
      </c>
      <c r="B50" s="330">
        <f>SUM(B51,B54:B56)</f>
        <v>63912</v>
      </c>
      <c r="C50" s="316">
        <f>SUM(C51,C54:C56)</f>
        <v>4991</v>
      </c>
      <c r="D50" s="316">
        <f>SUM(D51,D52:D56)</f>
        <v>415501</v>
      </c>
      <c r="E50" s="345" t="s">
        <v>1191</v>
      </c>
      <c r="F50" s="336">
        <f t="shared" ref="F50:H50" si="7">SUM(F51:F56)</f>
        <v>40137</v>
      </c>
      <c r="G50" s="336">
        <f t="shared" si="7"/>
        <v>52555</v>
      </c>
      <c r="H50" s="336">
        <f t="shared" si="7"/>
        <v>23259</v>
      </c>
    </row>
    <row r="51" s="298" customFormat="1" ht="26.25" customHeight="1" spans="1:8">
      <c r="A51" s="345" t="s">
        <v>1192</v>
      </c>
      <c r="B51" s="330">
        <f>B52</f>
        <v>278</v>
      </c>
      <c r="C51" s="316"/>
      <c r="D51" s="316"/>
      <c r="E51" s="345" t="s">
        <v>1193</v>
      </c>
      <c r="F51" s="339"/>
      <c r="G51" s="316"/>
      <c r="H51" s="319"/>
    </row>
    <row r="52" s="298" customFormat="1" ht="26.25" customHeight="1" spans="1:8">
      <c r="A52" s="320" t="s">
        <v>1194</v>
      </c>
      <c r="B52" s="330">
        <v>278</v>
      </c>
      <c r="C52" s="316"/>
      <c r="D52" s="316">
        <v>102</v>
      </c>
      <c r="E52" s="320" t="s">
        <v>1195</v>
      </c>
      <c r="F52" s="339"/>
      <c r="G52" s="316"/>
      <c r="H52" s="319"/>
    </row>
    <row r="53" s="298" customFormat="1" ht="26.25" customHeight="1" spans="1:8">
      <c r="A53" s="320" t="s">
        <v>1196</v>
      </c>
      <c r="B53" s="335"/>
      <c r="C53" s="316"/>
      <c r="D53" s="316"/>
      <c r="E53" s="320" t="s">
        <v>1197</v>
      </c>
      <c r="F53" s="339"/>
      <c r="G53" s="336"/>
      <c r="H53" s="319"/>
    </row>
    <row r="54" s="298" customFormat="1" ht="26.25" customHeight="1" spans="1:8">
      <c r="A54" s="345" t="s">
        <v>1198</v>
      </c>
      <c r="B54" s="330">
        <v>5752</v>
      </c>
      <c r="C54" s="316">
        <v>4991</v>
      </c>
      <c r="D54" s="330">
        <v>23426</v>
      </c>
      <c r="E54" s="346" t="s">
        <v>1199</v>
      </c>
      <c r="F54" s="336">
        <v>5950</v>
      </c>
      <c r="G54" s="336">
        <f>[14]支出表!F35</f>
        <v>22555</v>
      </c>
      <c r="H54" s="336">
        <f>[15]支出表!G35</f>
        <v>22555</v>
      </c>
    </row>
    <row r="55" s="298" customFormat="1" ht="26.25" customHeight="1" spans="1:8">
      <c r="A55" s="345" t="s">
        <v>1200</v>
      </c>
      <c r="B55" s="330">
        <v>54650</v>
      </c>
      <c r="C55" s="316"/>
      <c r="D55" s="330">
        <v>171246</v>
      </c>
      <c r="E55" s="345" t="s">
        <v>1201</v>
      </c>
      <c r="F55" s="336">
        <v>14124</v>
      </c>
      <c r="G55" s="336">
        <v>30000</v>
      </c>
      <c r="H55" s="336">
        <v>670</v>
      </c>
    </row>
    <row r="56" s="298" customFormat="1" ht="26.25" customHeight="1" spans="1:8">
      <c r="A56" s="347" t="s">
        <v>1202</v>
      </c>
      <c r="B56" s="330">
        <v>3232</v>
      </c>
      <c r="C56" s="316"/>
      <c r="D56" s="348">
        <v>220727</v>
      </c>
      <c r="E56" s="345" t="s">
        <v>1203</v>
      </c>
      <c r="F56" s="316">
        <v>20063</v>
      </c>
      <c r="G56" s="336"/>
      <c r="H56" s="349">
        <v>34</v>
      </c>
    </row>
    <row r="57" s="298" customFormat="1" ht="26.25" customHeight="1" spans="1:8">
      <c r="A57" s="344" t="s">
        <v>466</v>
      </c>
      <c r="B57" s="330">
        <f t="shared" ref="B57:H57" si="8">SUM(B49,B50)</f>
        <v>321735</v>
      </c>
      <c r="C57" s="336">
        <f t="shared" si="8"/>
        <v>271991</v>
      </c>
      <c r="D57" s="336">
        <f t="shared" si="8"/>
        <v>593101</v>
      </c>
      <c r="E57" s="344" t="s">
        <v>467</v>
      </c>
      <c r="F57" s="330">
        <f t="shared" si="8"/>
        <v>321735</v>
      </c>
      <c r="G57" s="336">
        <f t="shared" si="8"/>
        <v>271991</v>
      </c>
      <c r="H57" s="336">
        <f t="shared" si="8"/>
        <v>593101</v>
      </c>
    </row>
    <row r="59" spans="4:4">
      <c r="D59" s="298">
        <f>D57-C57</f>
        <v>321110</v>
      </c>
    </row>
  </sheetData>
  <mergeCells count="3">
    <mergeCell ref="A2:H2"/>
    <mergeCell ref="A4:D4"/>
    <mergeCell ref="E4:H4"/>
  </mergeCells>
  <printOptions horizontalCentered="1"/>
  <pageMargins left="0.393055555555556" right="0.196527777777778" top="0.590277777777778" bottom="0.393055555555556" header="0.393055555555556" footer="0.196527777777778"/>
  <pageSetup paperSize="9" scale="88" fitToHeight="0" orientation="portrait" horizontalDpi="600" verticalDpi="600"/>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F12"/>
  <sheetViews>
    <sheetView workbookViewId="0">
      <selection activeCell="I11" sqref="I11"/>
    </sheetView>
  </sheetViews>
  <sheetFormatPr defaultColWidth="9" defaultRowHeight="13.5" outlineLevelCol="5"/>
  <cols>
    <col min="1" max="1" width="30.625" customWidth="1"/>
    <col min="2" max="3" width="10.625" customWidth="1"/>
    <col min="4" max="4" width="40.625" customWidth="1"/>
    <col min="5" max="6" width="10.625" customWidth="1"/>
  </cols>
  <sheetData>
    <row r="1" ht="32" customHeight="1" spans="1:6">
      <c r="A1" s="289" t="s">
        <v>1204</v>
      </c>
      <c r="B1" s="289"/>
      <c r="C1" s="289"/>
      <c r="D1" s="289"/>
      <c r="E1" s="289"/>
      <c r="F1" s="289"/>
    </row>
    <row r="2" ht="18" customHeight="1" spans="1:6">
      <c r="A2" s="290"/>
      <c r="B2" s="290"/>
      <c r="C2" s="290"/>
      <c r="E2" s="291"/>
      <c r="F2" s="291" t="s">
        <v>1</v>
      </c>
    </row>
    <row r="3" ht="30" customHeight="1" spans="1:6">
      <c r="A3" s="292" t="s">
        <v>2</v>
      </c>
      <c r="B3" s="293" t="s">
        <v>1205</v>
      </c>
      <c r="C3" s="293" t="s">
        <v>1206</v>
      </c>
      <c r="D3" s="292" t="s">
        <v>408</v>
      </c>
      <c r="E3" s="293" t="s">
        <v>1205</v>
      </c>
      <c r="F3" s="293" t="s">
        <v>1206</v>
      </c>
    </row>
    <row r="4" ht="30" customHeight="1" spans="1:6">
      <c r="A4" s="294" t="s">
        <v>1207</v>
      </c>
      <c r="B4" s="295"/>
      <c r="C4" s="295"/>
      <c r="D4" s="296" t="s">
        <v>1208</v>
      </c>
      <c r="E4" s="295"/>
      <c r="F4" s="295"/>
    </row>
    <row r="5" ht="30" customHeight="1" spans="1:6">
      <c r="A5" s="294" t="s">
        <v>1209</v>
      </c>
      <c r="B5" s="295"/>
      <c r="C5" s="295"/>
      <c r="D5" s="296" t="s">
        <v>1210</v>
      </c>
      <c r="E5" s="295"/>
      <c r="F5" s="295"/>
    </row>
    <row r="6" ht="30" customHeight="1" spans="1:6">
      <c r="A6" s="294" t="s">
        <v>1211</v>
      </c>
      <c r="B6" s="295"/>
      <c r="C6" s="295"/>
      <c r="D6" s="296" t="s">
        <v>1212</v>
      </c>
      <c r="E6" s="295"/>
      <c r="F6" s="295"/>
    </row>
    <row r="7" ht="30" customHeight="1" spans="1:6">
      <c r="A7" s="294" t="s">
        <v>1213</v>
      </c>
      <c r="B7" s="295"/>
      <c r="C7" s="295"/>
      <c r="D7" s="296" t="s">
        <v>1214</v>
      </c>
      <c r="E7" s="295"/>
      <c r="F7" s="295"/>
    </row>
    <row r="8" ht="30" customHeight="1" spans="1:6">
      <c r="A8" s="294" t="s">
        <v>1215</v>
      </c>
      <c r="B8" s="295">
        <v>360</v>
      </c>
      <c r="C8" s="295">
        <v>0</v>
      </c>
      <c r="D8" s="296" t="s">
        <v>1216</v>
      </c>
      <c r="E8" s="295">
        <v>360</v>
      </c>
      <c r="F8" s="295">
        <v>0</v>
      </c>
    </row>
    <row r="9" ht="30" customHeight="1" spans="1:6">
      <c r="A9" s="294" t="s">
        <v>1217</v>
      </c>
      <c r="B9" s="295">
        <f>SUM(B4:B8)</f>
        <v>360</v>
      </c>
      <c r="C9" s="295">
        <f>SUM(C4:C8)</f>
        <v>0</v>
      </c>
      <c r="D9" s="294" t="s">
        <v>1218</v>
      </c>
      <c r="E9" s="295">
        <f>SUM(E4:E8)</f>
        <v>360</v>
      </c>
      <c r="F9" s="295">
        <f>SUM(F4:F8)</f>
        <v>0</v>
      </c>
    </row>
    <row r="10" ht="30" customHeight="1" spans="1:6">
      <c r="A10" s="294" t="s">
        <v>1219</v>
      </c>
      <c r="B10" s="297"/>
      <c r="C10" s="297"/>
      <c r="D10" s="294" t="s">
        <v>1220</v>
      </c>
      <c r="E10" s="295"/>
      <c r="F10" s="295"/>
    </row>
    <row r="11" ht="30" customHeight="1" spans="1:6">
      <c r="A11" s="294" t="s">
        <v>1221</v>
      </c>
      <c r="B11" s="295"/>
      <c r="C11" s="295"/>
      <c r="D11" s="294" t="s">
        <v>1222</v>
      </c>
      <c r="E11" s="295"/>
      <c r="F11" s="295"/>
    </row>
    <row r="12" ht="30" customHeight="1" spans="1:6">
      <c r="A12" s="292" t="s">
        <v>466</v>
      </c>
      <c r="B12" s="295">
        <f>SUM(B9:B11)</f>
        <v>360</v>
      </c>
      <c r="C12" s="295">
        <f>SUM(C9:C11)</f>
        <v>0</v>
      </c>
      <c r="D12" s="292" t="s">
        <v>467</v>
      </c>
      <c r="E12" s="295">
        <f>SUM(E9:E11)</f>
        <v>360</v>
      </c>
      <c r="F12" s="295">
        <f>SUM(F9:F11)</f>
        <v>0</v>
      </c>
    </row>
  </sheetData>
  <mergeCells count="2">
    <mergeCell ref="A1:F1"/>
    <mergeCell ref="A2:C2"/>
  </mergeCells>
  <printOptions horizontalCentered="1"/>
  <pageMargins left="0.393055555555556" right="0.393055555555556" top="0.786805555555556" bottom="0.590277777777778" header="0.5" footer="0.5"/>
  <pageSetup paperSize="9" firstPageNumber="8" orientation="landscape" useFirstPageNumber="1" horizontalDpi="600"/>
  <headerFooter>
    <oddHeader>&amp;L&amp;"黑体"&amp;12表七：</oddHead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sheetPr>
  <dimension ref="A1:H7"/>
  <sheetViews>
    <sheetView workbookViewId="0">
      <selection activeCell="J11" sqref="J11"/>
    </sheetView>
  </sheetViews>
  <sheetFormatPr defaultColWidth="9.15833333333333" defaultRowHeight="14.25" outlineLevelRow="6" outlineLevelCol="7"/>
  <cols>
    <col min="1" max="1" width="20.5166666666667" style="254" customWidth="1"/>
    <col min="2" max="3" width="15.55" style="254" customWidth="1"/>
    <col min="4" max="7" width="15.55" style="252" customWidth="1"/>
    <col min="8" max="8" width="20.5166666666667" style="252" customWidth="1"/>
    <col min="9" max="32" width="9.55833333333333" style="252" customWidth="1"/>
    <col min="33" max="224" width="9.15833333333333" style="252" customWidth="1"/>
    <col min="225" max="244" width="9.55833333333333" style="252" customWidth="1"/>
    <col min="245" max="245" width="17.7916666666667" style="252" customWidth="1"/>
    <col min="246" max="248" width="13.275" style="252" customWidth="1"/>
    <col min="249" max="252" width="9.825" style="252" customWidth="1"/>
    <col min="253" max="253" width="6.375" style="252" customWidth="1"/>
    <col min="254" max="254" width="11.4166666666667" style="252" customWidth="1"/>
    <col min="255" max="255" width="11.6833333333333" style="252" customWidth="1"/>
    <col min="256" max="16384" width="9.15833333333333" style="252"/>
  </cols>
  <sheetData>
    <row r="1" s="252" customFormat="1" ht="40" customHeight="1" spans="1:8">
      <c r="A1" s="273" t="s">
        <v>1223</v>
      </c>
      <c r="B1" s="273"/>
      <c r="C1" s="273"/>
      <c r="D1" s="273"/>
      <c r="E1" s="273"/>
      <c r="F1" s="273"/>
      <c r="G1" s="273"/>
      <c r="H1" s="273"/>
    </row>
    <row r="2" s="252" customFormat="1" ht="18" customHeight="1" spans="1:8">
      <c r="A2" s="257"/>
      <c r="B2" s="257"/>
      <c r="C2" s="257"/>
      <c r="D2" s="258"/>
      <c r="E2" s="258"/>
      <c r="F2" s="258"/>
      <c r="G2" s="258"/>
      <c r="H2" s="274" t="s">
        <v>1</v>
      </c>
    </row>
    <row r="3" s="252" customFormat="1" ht="30" customHeight="1" spans="1:8">
      <c r="A3" s="275" t="s">
        <v>1224</v>
      </c>
      <c r="B3" s="276" t="s">
        <v>1225</v>
      </c>
      <c r="C3" s="277"/>
      <c r="D3" s="278"/>
      <c r="E3" s="279" t="s">
        <v>1226</v>
      </c>
      <c r="F3" s="279"/>
      <c r="G3" s="279"/>
      <c r="H3" s="280" t="s">
        <v>470</v>
      </c>
    </row>
    <row r="4" s="252" customFormat="1" ht="30" customHeight="1" spans="1:8">
      <c r="A4" s="275"/>
      <c r="B4" s="279" t="s">
        <v>390</v>
      </c>
      <c r="C4" s="281" t="s">
        <v>1227</v>
      </c>
      <c r="D4" s="279" t="s">
        <v>1228</v>
      </c>
      <c r="E4" s="282" t="s">
        <v>390</v>
      </c>
      <c r="F4" s="281" t="s">
        <v>1227</v>
      </c>
      <c r="G4" s="279" t="s">
        <v>1228</v>
      </c>
      <c r="H4" s="283"/>
    </row>
    <row r="5" s="252" customFormat="1" ht="30" customHeight="1" spans="1:8">
      <c r="A5" s="265" t="s">
        <v>1229</v>
      </c>
      <c r="B5" s="284">
        <f>B6+B7</f>
        <v>486261</v>
      </c>
      <c r="C5" s="284">
        <f>C6+C7</f>
        <v>135431</v>
      </c>
      <c r="D5" s="284">
        <f>D6+D7</f>
        <v>350830</v>
      </c>
      <c r="E5" s="284">
        <f t="shared" ref="E5:G5" si="0">E6+E7</f>
        <v>708202</v>
      </c>
      <c r="F5" s="284">
        <f t="shared" si="0"/>
        <v>208681</v>
      </c>
      <c r="G5" s="284">
        <f t="shared" si="0"/>
        <v>499521</v>
      </c>
      <c r="H5" s="285" t="s">
        <v>1230</v>
      </c>
    </row>
    <row r="6" s="252" customFormat="1" ht="30" customHeight="1" spans="1:8">
      <c r="A6" s="286" t="s">
        <v>9</v>
      </c>
      <c r="B6" s="284">
        <f>SUM(C6:D6)</f>
        <v>460430</v>
      </c>
      <c r="C6" s="284">
        <v>109600</v>
      </c>
      <c r="D6" s="284">
        <v>350830</v>
      </c>
      <c r="E6" s="284">
        <f>SUM(F6:G6)</f>
        <v>690744</v>
      </c>
      <c r="F6" s="284">
        <v>191223</v>
      </c>
      <c r="G6" s="284">
        <v>499521</v>
      </c>
      <c r="H6" s="287"/>
    </row>
    <row r="7" s="252" customFormat="1" ht="30" customHeight="1" spans="1:8">
      <c r="A7" s="286" t="s">
        <v>10</v>
      </c>
      <c r="B7" s="284">
        <f>SUM(C7:D7)</f>
        <v>25831</v>
      </c>
      <c r="C7" s="284">
        <v>25831</v>
      </c>
      <c r="D7" s="284">
        <v>0</v>
      </c>
      <c r="E7" s="284">
        <f>SUM(F7:G7)</f>
        <v>17458</v>
      </c>
      <c r="F7" s="284">
        <v>17458</v>
      </c>
      <c r="G7" s="284">
        <v>0</v>
      </c>
      <c r="H7" s="288"/>
    </row>
  </sheetData>
  <mergeCells count="6">
    <mergeCell ref="A1:H1"/>
    <mergeCell ref="B3:D3"/>
    <mergeCell ref="E3:G3"/>
    <mergeCell ref="A3:A4"/>
    <mergeCell ref="H3:H4"/>
    <mergeCell ref="H5:H7"/>
  </mergeCells>
  <printOptions horizontalCentered="1"/>
  <pageMargins left="0.393055555555556" right="0.393055555555556" top="1" bottom="1" header="0.5" footer="0.5"/>
  <pageSetup paperSize="9" firstPageNumber="47" orientation="landscape" useFirstPageNumber="1" horizontalDpi="600"/>
  <headerFooter>
    <oddHeader>&amp;L&amp;"黑体"&amp;12&amp;B表十一：</oddHead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sheetPr>
  <dimension ref="A1:M13"/>
  <sheetViews>
    <sheetView workbookViewId="0">
      <selection activeCell="E18" sqref="E18"/>
    </sheetView>
  </sheetViews>
  <sheetFormatPr defaultColWidth="11.6833333333333" defaultRowHeight="14.25"/>
  <cols>
    <col min="1" max="1" width="12.625" style="253" customWidth="1"/>
    <col min="2" max="7" width="10.125" style="254" customWidth="1"/>
    <col min="8" max="13" width="10.125" style="252" customWidth="1"/>
    <col min="14" max="36" width="9.55833333333333" style="252" customWidth="1"/>
    <col min="37" max="228" width="11.6833333333333" style="252" customWidth="1"/>
    <col min="229" max="246" width="9.55833333333333" style="252" customWidth="1"/>
    <col min="247" max="247" width="17.7916666666667" style="252" customWidth="1"/>
    <col min="248" max="250" width="13.275" style="252" customWidth="1"/>
    <col min="251" max="254" width="9.825" style="252" customWidth="1"/>
    <col min="255" max="255" width="6.375" style="252" customWidth="1"/>
    <col min="256" max="256" width="11.4166666666667" style="252" customWidth="1"/>
    <col min="257" max="257" width="11.6833333333333" style="252" customWidth="1"/>
    <col min="258" max="258" width="9.15833333333333" style="252" customWidth="1"/>
    <col min="259" max="16384" width="11.6833333333333" style="252"/>
  </cols>
  <sheetData>
    <row r="1" s="252" customFormat="1" ht="32" customHeight="1" spans="1:13">
      <c r="A1" s="255" t="s">
        <v>1231</v>
      </c>
      <c r="B1" s="255"/>
      <c r="C1" s="255"/>
      <c r="D1" s="255"/>
      <c r="E1" s="255"/>
      <c r="F1" s="255"/>
      <c r="G1" s="255"/>
      <c r="H1" s="255"/>
      <c r="I1" s="255"/>
      <c r="J1" s="255"/>
      <c r="K1" s="255"/>
      <c r="L1" s="255"/>
      <c r="M1" s="255"/>
    </row>
    <row r="2" s="252" customFormat="1" ht="18" customHeight="1" spans="1:13">
      <c r="A2" s="256"/>
      <c r="B2" s="257"/>
      <c r="C2" s="257"/>
      <c r="D2" s="257"/>
      <c r="E2" s="257"/>
      <c r="F2" s="257"/>
      <c r="G2" s="257"/>
      <c r="H2" s="258"/>
      <c r="I2" s="258"/>
      <c r="M2" s="271" t="s">
        <v>1</v>
      </c>
    </row>
    <row r="3" s="252" customFormat="1" ht="30" customHeight="1" spans="1:13">
      <c r="A3" s="259" t="s">
        <v>1224</v>
      </c>
      <c r="B3" s="260" t="s">
        <v>1232</v>
      </c>
      <c r="C3" s="261"/>
      <c r="D3" s="262"/>
      <c r="E3" s="263" t="s">
        <v>1233</v>
      </c>
      <c r="F3" s="263"/>
      <c r="G3" s="263"/>
      <c r="H3" s="263" t="s">
        <v>1234</v>
      </c>
      <c r="I3" s="263"/>
      <c r="J3" s="263"/>
      <c r="K3" s="263" t="s">
        <v>1235</v>
      </c>
      <c r="L3" s="263"/>
      <c r="M3" s="263"/>
    </row>
    <row r="4" s="252" customFormat="1" ht="30" customHeight="1" spans="1:13">
      <c r="A4" s="259"/>
      <c r="B4" s="264" t="s">
        <v>8</v>
      </c>
      <c r="C4" s="262" t="s">
        <v>1236</v>
      </c>
      <c r="D4" s="264" t="s">
        <v>1237</v>
      </c>
      <c r="E4" s="264" t="s">
        <v>390</v>
      </c>
      <c r="F4" s="264" t="s">
        <v>1236</v>
      </c>
      <c r="G4" s="264" t="s">
        <v>1237</v>
      </c>
      <c r="H4" s="264" t="s">
        <v>390</v>
      </c>
      <c r="I4" s="264" t="s">
        <v>1236</v>
      </c>
      <c r="J4" s="264" t="s">
        <v>1237</v>
      </c>
      <c r="K4" s="264" t="s">
        <v>390</v>
      </c>
      <c r="L4" s="264" t="s">
        <v>1236</v>
      </c>
      <c r="M4" s="264" t="s">
        <v>1237</v>
      </c>
    </row>
    <row r="5" s="252" customFormat="1" ht="30" customHeight="1" spans="1:13">
      <c r="A5" s="265" t="s">
        <v>1229</v>
      </c>
      <c r="B5" s="266">
        <f>SUM(B6:B7)</f>
        <v>286326</v>
      </c>
      <c r="C5" s="266">
        <f>SUM(C6:C7)</f>
        <v>115080</v>
      </c>
      <c r="D5" s="266">
        <f t="shared" ref="B5:M5" si="0">SUM(D6:D7)</f>
        <v>171246</v>
      </c>
      <c r="E5" s="267">
        <f t="shared" si="0"/>
        <v>38818</v>
      </c>
      <c r="F5" s="267">
        <f t="shared" si="0"/>
        <v>17763</v>
      </c>
      <c r="G5" s="267">
        <f t="shared" si="0"/>
        <v>21055</v>
      </c>
      <c r="H5" s="267">
        <f t="shared" si="0"/>
        <v>8822</v>
      </c>
      <c r="I5" s="267">
        <f t="shared" si="0"/>
        <v>5822</v>
      </c>
      <c r="J5" s="267">
        <f t="shared" si="0"/>
        <v>3000</v>
      </c>
      <c r="K5" s="267">
        <f t="shared" si="0"/>
        <v>238686</v>
      </c>
      <c r="L5" s="267">
        <f t="shared" si="0"/>
        <v>91495</v>
      </c>
      <c r="M5" s="267">
        <f t="shared" si="0"/>
        <v>147191</v>
      </c>
    </row>
    <row r="6" s="252" customFormat="1" ht="30" customHeight="1" spans="1:13">
      <c r="A6" s="265" t="s">
        <v>9</v>
      </c>
      <c r="B6" s="267">
        <f>E6+H6+K6</f>
        <v>284482</v>
      </c>
      <c r="C6" s="267">
        <f>F6+I6+L6</f>
        <v>113236</v>
      </c>
      <c r="D6" s="267">
        <f>G6+J6+M6</f>
        <v>171246</v>
      </c>
      <c r="E6" s="267">
        <f>SUM(F6:G6)</f>
        <v>38096</v>
      </c>
      <c r="F6" s="267">
        <v>17041</v>
      </c>
      <c r="G6" s="267">
        <v>21055</v>
      </c>
      <c r="H6" s="267">
        <f>SUM(I6:J6)</f>
        <v>7700</v>
      </c>
      <c r="I6" s="272">
        <v>4700</v>
      </c>
      <c r="J6" s="272">
        <v>3000</v>
      </c>
      <c r="K6" s="267">
        <f>SUM(L6:M6)</f>
        <v>238686</v>
      </c>
      <c r="L6" s="272">
        <v>91495</v>
      </c>
      <c r="M6" s="272">
        <v>147191</v>
      </c>
    </row>
    <row r="7" s="252" customFormat="1" ht="30" customHeight="1" spans="1:13">
      <c r="A7" s="265" t="s">
        <v>10</v>
      </c>
      <c r="B7" s="267">
        <f>E7+H7+K7</f>
        <v>1844</v>
      </c>
      <c r="C7" s="267">
        <f>F7+I7+K7</f>
        <v>1844</v>
      </c>
      <c r="D7" s="267">
        <f>G7+J7</f>
        <v>0</v>
      </c>
      <c r="E7" s="267">
        <f>SUM(F7:G7)</f>
        <v>722</v>
      </c>
      <c r="F7" s="267">
        <v>722</v>
      </c>
      <c r="G7" s="267">
        <v>0</v>
      </c>
      <c r="H7" s="267">
        <f>SUM(I7:J7)</f>
        <v>1122</v>
      </c>
      <c r="I7" s="272">
        <v>1122</v>
      </c>
      <c r="J7" s="272"/>
      <c r="K7" s="267">
        <f>SUM(L7:M7)</f>
        <v>0</v>
      </c>
      <c r="L7" s="272"/>
      <c r="M7" s="272"/>
    </row>
    <row r="10" spans="5:8">
      <c r="E10" s="268"/>
      <c r="H10" s="269"/>
    </row>
    <row r="12" spans="5:5">
      <c r="E12" s="252"/>
    </row>
    <row r="13" spans="5:8">
      <c r="E13" s="270"/>
      <c r="H13" s="270"/>
    </row>
  </sheetData>
  <mergeCells count="6">
    <mergeCell ref="A1:M1"/>
    <mergeCell ref="B3:D3"/>
    <mergeCell ref="E3:G3"/>
    <mergeCell ref="H3:J3"/>
    <mergeCell ref="K3:M3"/>
    <mergeCell ref="A3:A4"/>
  </mergeCells>
  <printOptions horizontalCentered="1"/>
  <pageMargins left="0.393055555555556" right="0.393055555555556" top="0.590277777777778" bottom="0.393055555555556" header="0.393055555555556" footer="0.393055555555556"/>
  <pageSetup paperSize="9" firstPageNumber="45" orientation="landscape" useFirstPageNumber="1" horizontalDpi="600"/>
  <headerFooter>
    <oddHeader>&amp;L&amp;"黑体"&amp;12表九：</oddHead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00"/>
    <pageSetUpPr fitToPage="1"/>
  </sheetPr>
  <dimension ref="A1:H26"/>
  <sheetViews>
    <sheetView view="pageBreakPreview" zoomScaleNormal="100" workbookViewId="0">
      <selection activeCell="L15" sqref="L15"/>
    </sheetView>
  </sheetViews>
  <sheetFormatPr defaultColWidth="9.55833333333333" defaultRowHeight="14.25" outlineLevelCol="7"/>
  <cols>
    <col min="1" max="2" width="6.625" style="230" customWidth="1"/>
    <col min="3" max="4" width="20.625" style="229" customWidth="1"/>
    <col min="5" max="7" width="8.625" style="229" customWidth="1"/>
    <col min="8" max="8" width="30.625" style="229" customWidth="1"/>
    <col min="9" max="16384" width="9.55833333333333" style="229"/>
  </cols>
  <sheetData>
    <row r="1" s="229" customFormat="1" ht="32" customHeight="1" spans="1:8">
      <c r="A1" s="231" t="s">
        <v>1238</v>
      </c>
      <c r="B1" s="231"/>
      <c r="C1" s="232"/>
      <c r="D1" s="232"/>
      <c r="E1" s="232"/>
      <c r="F1" s="232"/>
      <c r="G1" s="232"/>
      <c r="H1" s="232"/>
    </row>
    <row r="2" s="229" customFormat="1" ht="18" customHeight="1" spans="1:8">
      <c r="A2" s="233"/>
      <c r="B2" s="233"/>
      <c r="C2" s="234"/>
      <c r="D2" s="234"/>
      <c r="E2" s="235"/>
      <c r="F2" s="235"/>
      <c r="G2" s="235"/>
      <c r="H2" s="236" t="s">
        <v>1</v>
      </c>
    </row>
    <row r="3" s="229" customFormat="1" ht="30" customHeight="1" spans="1:8">
      <c r="A3" s="237" t="s">
        <v>1239</v>
      </c>
      <c r="B3" s="237"/>
      <c r="C3" s="238" t="s">
        <v>1240</v>
      </c>
      <c r="D3" s="238" t="s">
        <v>862</v>
      </c>
      <c r="E3" s="238" t="s">
        <v>1241</v>
      </c>
      <c r="F3" s="238"/>
      <c r="G3" s="238"/>
      <c r="H3" s="238" t="s">
        <v>1242</v>
      </c>
    </row>
    <row r="4" s="229" customFormat="1" ht="30" customHeight="1" spans="1:8">
      <c r="A4" s="237"/>
      <c r="B4" s="237"/>
      <c r="C4" s="238"/>
      <c r="D4" s="238"/>
      <c r="E4" s="239" t="s">
        <v>8</v>
      </c>
      <c r="F4" s="239" t="s">
        <v>9</v>
      </c>
      <c r="G4" s="239" t="s">
        <v>10</v>
      </c>
      <c r="H4" s="238"/>
    </row>
    <row r="5" s="229" customFormat="1" ht="26.25" customHeight="1" spans="1:8">
      <c r="A5" s="240" t="s">
        <v>1243</v>
      </c>
      <c r="B5" s="240" t="s">
        <v>1236</v>
      </c>
      <c r="C5" s="241" t="s">
        <v>1244</v>
      </c>
      <c r="D5" s="241" t="s">
        <v>1245</v>
      </c>
      <c r="E5" s="242">
        <f t="shared" ref="E5:E9" si="0">F5+G5</f>
        <v>2000</v>
      </c>
      <c r="F5" s="242">
        <v>2000</v>
      </c>
      <c r="G5" s="242"/>
      <c r="H5" s="243" t="s">
        <v>1246</v>
      </c>
    </row>
    <row r="6" s="229" customFormat="1" ht="26.25" customHeight="1" spans="1:8">
      <c r="A6" s="240"/>
      <c r="B6" s="240"/>
      <c r="C6" s="241" t="s">
        <v>1244</v>
      </c>
      <c r="D6" s="241" t="s">
        <v>1247</v>
      </c>
      <c r="E6" s="242">
        <f t="shared" si="0"/>
        <v>1686</v>
      </c>
      <c r="F6" s="242">
        <v>1686</v>
      </c>
      <c r="G6" s="242"/>
      <c r="H6" s="243" t="s">
        <v>1246</v>
      </c>
    </row>
    <row r="7" s="229" customFormat="1" ht="26.25" customHeight="1" spans="1:8">
      <c r="A7" s="240"/>
      <c r="B7" s="240"/>
      <c r="C7" s="241" t="s">
        <v>1248</v>
      </c>
      <c r="D7" s="241" t="s">
        <v>1249</v>
      </c>
      <c r="E7" s="242">
        <f t="shared" si="0"/>
        <v>1014</v>
      </c>
      <c r="F7" s="242">
        <v>1014</v>
      </c>
      <c r="G7" s="242"/>
      <c r="H7" s="243" t="s">
        <v>699</v>
      </c>
    </row>
    <row r="8" s="229" customFormat="1" ht="26.25" customHeight="1" spans="1:8">
      <c r="A8" s="240"/>
      <c r="B8" s="240"/>
      <c r="C8" s="241" t="s">
        <v>1244</v>
      </c>
      <c r="D8" s="241" t="s">
        <v>1250</v>
      </c>
      <c r="E8" s="242">
        <f t="shared" si="0"/>
        <v>822</v>
      </c>
      <c r="F8" s="242"/>
      <c r="G8" s="242">
        <v>822</v>
      </c>
      <c r="H8" s="243" t="s">
        <v>1251</v>
      </c>
    </row>
    <row r="9" s="229" customFormat="1" ht="26.25" customHeight="1" spans="1:8">
      <c r="A9" s="240"/>
      <c r="B9" s="240"/>
      <c r="C9" s="241" t="s">
        <v>1244</v>
      </c>
      <c r="D9" s="241" t="s">
        <v>1252</v>
      </c>
      <c r="E9" s="242">
        <f t="shared" si="0"/>
        <v>300</v>
      </c>
      <c r="F9" s="242"/>
      <c r="G9" s="242">
        <v>300</v>
      </c>
      <c r="H9" s="243" t="s">
        <v>1251</v>
      </c>
    </row>
    <row r="10" s="229" customFormat="1" ht="26.25" customHeight="1" spans="1:8">
      <c r="A10" s="240"/>
      <c r="B10" s="240"/>
      <c r="C10" s="244" t="s">
        <v>390</v>
      </c>
      <c r="D10" s="244"/>
      <c r="E10" s="242">
        <f t="shared" ref="E10:G10" si="1">SUM(E5:E9)</f>
        <v>5822</v>
      </c>
      <c r="F10" s="242">
        <f t="shared" si="1"/>
        <v>4700</v>
      </c>
      <c r="G10" s="242">
        <f t="shared" si="1"/>
        <v>1122</v>
      </c>
      <c r="H10" s="245"/>
    </row>
    <row r="11" s="229" customFormat="1" ht="26.25" customHeight="1" spans="1:8">
      <c r="A11" s="240"/>
      <c r="B11" s="240" t="s">
        <v>1237</v>
      </c>
      <c r="C11" s="241" t="s">
        <v>1253</v>
      </c>
      <c r="D11" s="241" t="s">
        <v>1254</v>
      </c>
      <c r="E11" s="242">
        <f>SUM(F11:G11)</f>
        <v>3000</v>
      </c>
      <c r="F11" s="246">
        <v>3000</v>
      </c>
      <c r="G11" s="242"/>
      <c r="H11" s="243"/>
    </row>
    <row r="12" s="229" customFormat="1" ht="26.25" customHeight="1" spans="1:8">
      <c r="A12" s="240"/>
      <c r="B12" s="240"/>
      <c r="C12" s="244" t="s">
        <v>390</v>
      </c>
      <c r="D12" s="244"/>
      <c r="E12" s="242">
        <f t="shared" ref="E12:G12" si="2">SUM(E11:E11)</f>
        <v>3000</v>
      </c>
      <c r="F12" s="242">
        <f t="shared" si="2"/>
        <v>3000</v>
      </c>
      <c r="G12" s="242">
        <f t="shared" si="2"/>
        <v>0</v>
      </c>
      <c r="H12" s="247"/>
    </row>
    <row r="13" s="229" customFormat="1" ht="26.25" customHeight="1" spans="1:8">
      <c r="A13" s="240"/>
      <c r="B13" s="248" t="s">
        <v>1255</v>
      </c>
      <c r="C13" s="249"/>
      <c r="D13" s="250"/>
      <c r="E13" s="242">
        <f>E10+E12</f>
        <v>8822</v>
      </c>
      <c r="F13" s="242">
        <f t="shared" ref="E13:G13" si="3">F10+F12</f>
        <v>7700</v>
      </c>
      <c r="G13" s="242">
        <f t="shared" si="3"/>
        <v>1122</v>
      </c>
      <c r="H13" s="245"/>
    </row>
    <row r="14" ht="26.25" customHeight="1" spans="1:8">
      <c r="A14" s="240" t="s">
        <v>1256</v>
      </c>
      <c r="B14" s="240" t="s">
        <v>1236</v>
      </c>
      <c r="C14" s="241" t="s">
        <v>1257</v>
      </c>
      <c r="D14" s="241" t="s">
        <v>1258</v>
      </c>
      <c r="E14" s="242">
        <f t="shared" ref="E14:E18" si="4">SUM(F14:G14)</f>
        <v>2495</v>
      </c>
      <c r="F14" s="242">
        <v>2495</v>
      </c>
      <c r="G14" s="242"/>
      <c r="H14" s="251" t="s">
        <v>1259</v>
      </c>
    </row>
    <row r="15" ht="26.25" customHeight="1" spans="1:8">
      <c r="A15" s="240"/>
      <c r="B15" s="240"/>
      <c r="C15" s="241" t="s">
        <v>1257</v>
      </c>
      <c r="D15" s="241" t="s">
        <v>1260</v>
      </c>
      <c r="E15" s="242">
        <f t="shared" si="4"/>
        <v>19000</v>
      </c>
      <c r="F15" s="242">
        <v>19000</v>
      </c>
      <c r="G15" s="242"/>
      <c r="H15" s="251" t="s">
        <v>1261</v>
      </c>
    </row>
    <row r="16" ht="26.25" customHeight="1" spans="1:8">
      <c r="A16" s="240"/>
      <c r="B16" s="240"/>
      <c r="C16" s="241" t="s">
        <v>1257</v>
      </c>
      <c r="D16" s="241" t="s">
        <v>1262</v>
      </c>
      <c r="E16" s="242">
        <f t="shared" si="4"/>
        <v>70000</v>
      </c>
      <c r="F16" s="242">
        <v>70000</v>
      </c>
      <c r="G16" s="242"/>
      <c r="H16" s="251" t="s">
        <v>1263</v>
      </c>
    </row>
    <row r="17" ht="26.25" customHeight="1" spans="1:8">
      <c r="A17" s="240"/>
      <c r="B17" s="240"/>
      <c r="C17" s="244" t="s">
        <v>390</v>
      </c>
      <c r="D17" s="244"/>
      <c r="E17" s="242">
        <f>SUM(E14:E16)</f>
        <v>91495</v>
      </c>
      <c r="F17" s="242">
        <f>SUM(F14:F16)</f>
        <v>91495</v>
      </c>
      <c r="G17" s="242">
        <f>SUM(G14:G16)</f>
        <v>0</v>
      </c>
      <c r="H17" s="245"/>
    </row>
    <row r="18" ht="26.25" customHeight="1" spans="1:8">
      <c r="A18" s="240"/>
      <c r="B18" s="240" t="s">
        <v>1237</v>
      </c>
      <c r="C18" s="241" t="s">
        <v>1257</v>
      </c>
      <c r="D18" s="241" t="s">
        <v>1264</v>
      </c>
      <c r="E18" s="242">
        <f t="shared" si="4"/>
        <v>623</v>
      </c>
      <c r="F18" s="246">
        <v>623</v>
      </c>
      <c r="G18" s="242"/>
      <c r="H18" s="243"/>
    </row>
    <row r="19" ht="26.25" customHeight="1" spans="1:8">
      <c r="A19" s="240"/>
      <c r="B19" s="240"/>
      <c r="C19" s="241" t="s">
        <v>1257</v>
      </c>
      <c r="D19" s="241" t="s">
        <v>1265</v>
      </c>
      <c r="E19" s="242">
        <f t="shared" ref="E19:E24" si="5">SUM(F19:G19)</f>
        <v>4957</v>
      </c>
      <c r="F19" s="246">
        <v>4957</v>
      </c>
      <c r="G19" s="242"/>
      <c r="H19" s="243"/>
    </row>
    <row r="20" ht="26.25" customHeight="1" spans="1:8">
      <c r="A20" s="240"/>
      <c r="B20" s="240"/>
      <c r="C20" s="241" t="s">
        <v>1257</v>
      </c>
      <c r="D20" s="241" t="s">
        <v>1266</v>
      </c>
      <c r="E20" s="242">
        <f t="shared" si="5"/>
        <v>11611</v>
      </c>
      <c r="F20" s="246">
        <v>11611</v>
      </c>
      <c r="G20" s="242"/>
      <c r="H20" s="243"/>
    </row>
    <row r="21" ht="26.25" customHeight="1" spans="1:8">
      <c r="A21" s="240"/>
      <c r="B21" s="240"/>
      <c r="C21" s="241" t="s">
        <v>1257</v>
      </c>
      <c r="D21" s="241" t="s">
        <v>1267</v>
      </c>
      <c r="E21" s="242">
        <f t="shared" si="5"/>
        <v>16000</v>
      </c>
      <c r="F21" s="246">
        <v>16000</v>
      </c>
      <c r="G21" s="242"/>
      <c r="H21" s="243"/>
    </row>
    <row r="22" ht="26.25" customHeight="1" spans="1:8">
      <c r="A22" s="240"/>
      <c r="B22" s="240"/>
      <c r="C22" s="241" t="s">
        <v>1257</v>
      </c>
      <c r="D22" s="241" t="s">
        <v>1268</v>
      </c>
      <c r="E22" s="242">
        <f t="shared" si="5"/>
        <v>30000</v>
      </c>
      <c r="F22" s="246">
        <v>30000</v>
      </c>
      <c r="G22" s="242"/>
      <c r="H22" s="243"/>
    </row>
    <row r="23" ht="26.25" customHeight="1" spans="1:8">
      <c r="A23" s="240"/>
      <c r="B23" s="240"/>
      <c r="C23" s="241" t="s">
        <v>1257</v>
      </c>
      <c r="D23" s="241" t="s">
        <v>1269</v>
      </c>
      <c r="E23" s="242">
        <f t="shared" si="5"/>
        <v>40000</v>
      </c>
      <c r="F23" s="246">
        <v>40000</v>
      </c>
      <c r="G23" s="242"/>
      <c r="H23" s="243"/>
    </row>
    <row r="24" ht="26.25" customHeight="1" spans="1:8">
      <c r="A24" s="240"/>
      <c r="B24" s="240"/>
      <c r="C24" s="241" t="s">
        <v>1257</v>
      </c>
      <c r="D24" s="241" t="s">
        <v>1270</v>
      </c>
      <c r="E24" s="242">
        <f t="shared" si="5"/>
        <v>44000</v>
      </c>
      <c r="F24" s="246">
        <v>44000</v>
      </c>
      <c r="G24" s="242"/>
      <c r="H24" s="243"/>
    </row>
    <row r="25" ht="26.25" customHeight="1" spans="1:8">
      <c r="A25" s="240"/>
      <c r="B25" s="240"/>
      <c r="C25" s="244" t="s">
        <v>390</v>
      </c>
      <c r="D25" s="244"/>
      <c r="E25" s="242">
        <f>SUM(E18:E24)</f>
        <v>147191</v>
      </c>
      <c r="F25" s="242">
        <f>SUM(F18:F24)</f>
        <v>147191</v>
      </c>
      <c r="G25" s="242">
        <f>SUM(G18:G24)</f>
        <v>0</v>
      </c>
      <c r="H25" s="247"/>
    </row>
    <row r="26" ht="26.25" customHeight="1" spans="1:8">
      <c r="A26" s="240"/>
      <c r="B26" s="248" t="s">
        <v>1255</v>
      </c>
      <c r="C26" s="249"/>
      <c r="D26" s="250"/>
      <c r="E26" s="242">
        <f t="shared" ref="E26:G26" si="6">E17+E25</f>
        <v>238686</v>
      </c>
      <c r="F26" s="242">
        <f t="shared" si="6"/>
        <v>238686</v>
      </c>
      <c r="G26" s="242">
        <f t="shared" si="6"/>
        <v>0</v>
      </c>
      <c r="H26" s="245"/>
    </row>
  </sheetData>
  <mergeCells count="18">
    <mergeCell ref="A1:H1"/>
    <mergeCell ref="E3:G3"/>
    <mergeCell ref="C10:D10"/>
    <mergeCell ref="C12:D12"/>
    <mergeCell ref="B13:D13"/>
    <mergeCell ref="C17:D17"/>
    <mergeCell ref="C25:D25"/>
    <mergeCell ref="B26:D26"/>
    <mergeCell ref="A5:A13"/>
    <mergeCell ref="A14:A26"/>
    <mergeCell ref="B5:B10"/>
    <mergeCell ref="B11:B12"/>
    <mergeCell ref="B14:B17"/>
    <mergeCell ref="B18:B25"/>
    <mergeCell ref="C3:C4"/>
    <mergeCell ref="D3:D4"/>
    <mergeCell ref="H3:H4"/>
    <mergeCell ref="A3:B4"/>
  </mergeCells>
  <printOptions horizontalCentered="1"/>
  <pageMargins left="0.393055555555556" right="0.196527777777778" top="0.590277777777778" bottom="0.393055555555556" header="0.393055555555556" footer="0.393055555555556"/>
  <pageSetup paperSize="9" scale="90" firstPageNumber="46" fitToHeight="0" orientation="portrait" useFirstPageNumber="1" horizontalDpi="600"/>
  <headerFooter>
    <oddHeader>&amp;L&amp;"黑体"&amp;12表十：</oddHead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300"/>
  <sheetViews>
    <sheetView showZeros="0" zoomScale="90" zoomScaleNormal="90" workbookViewId="0">
      <selection activeCell="H10" sqref="H10"/>
    </sheetView>
  </sheetViews>
  <sheetFormatPr defaultColWidth="8" defaultRowHeight="15"/>
  <cols>
    <col min="1" max="1" width="12.625" style="4" customWidth="1"/>
    <col min="2" max="2" width="25.625" style="4" customWidth="1"/>
    <col min="3" max="5" width="10.625" style="195" customWidth="1"/>
    <col min="6" max="8" width="10.625" style="196" customWidth="1"/>
    <col min="9" max="11" width="10.625" style="197" customWidth="1"/>
    <col min="12" max="14" width="8" style="99"/>
    <col min="15" max="17" width="10.625" style="196" customWidth="1"/>
    <col min="18" max="16384" width="8" style="99"/>
  </cols>
  <sheetData>
    <row r="1" s="4" customFormat="1" ht="32" customHeight="1" spans="1:17">
      <c r="A1" s="198" t="s">
        <v>1271</v>
      </c>
      <c r="B1" s="198"/>
      <c r="C1" s="198"/>
      <c r="D1" s="198"/>
      <c r="E1" s="198"/>
      <c r="F1" s="198"/>
      <c r="G1" s="198"/>
      <c r="H1" s="198"/>
      <c r="I1" s="218"/>
      <c r="J1" s="218"/>
      <c r="K1" s="218"/>
      <c r="O1" s="198"/>
      <c r="P1" s="198"/>
      <c r="Q1" s="198"/>
    </row>
    <row r="2" s="4" customFormat="1" spans="1:17">
      <c r="A2" s="226"/>
      <c r="B2" s="200"/>
      <c r="C2" s="201"/>
      <c r="D2" s="201"/>
      <c r="E2" s="201"/>
      <c r="F2" s="201"/>
      <c r="G2" s="201"/>
      <c r="H2" s="201"/>
      <c r="I2" s="219"/>
      <c r="J2" s="219"/>
      <c r="K2" s="219"/>
      <c r="O2" s="201"/>
      <c r="P2" s="201"/>
      <c r="Q2" s="201"/>
    </row>
    <row r="3" s="193" customFormat="1" ht="21.75" customHeight="1" spans="1:17">
      <c r="A3" s="202" t="s">
        <v>1272</v>
      </c>
      <c r="B3" s="202" t="s">
        <v>861</v>
      </c>
      <c r="C3" s="203" t="s">
        <v>1273</v>
      </c>
      <c r="D3" s="203"/>
      <c r="E3" s="203"/>
      <c r="F3" s="204" t="s">
        <v>387</v>
      </c>
      <c r="G3" s="205"/>
      <c r="H3" s="206"/>
      <c r="I3" s="220" t="s">
        <v>1274</v>
      </c>
      <c r="J3" s="221"/>
      <c r="K3" s="222"/>
      <c r="O3" s="204" t="s">
        <v>389</v>
      </c>
      <c r="P3" s="205"/>
      <c r="Q3" s="206"/>
    </row>
    <row r="4" s="193" customFormat="1" ht="21.75" customHeight="1" spans="1:17">
      <c r="A4" s="207"/>
      <c r="B4" s="207"/>
      <c r="C4" s="208" t="s">
        <v>390</v>
      </c>
      <c r="D4" s="208" t="s">
        <v>385</v>
      </c>
      <c r="E4" s="208" t="s">
        <v>386</v>
      </c>
      <c r="F4" s="208" t="s">
        <v>390</v>
      </c>
      <c r="G4" s="208" t="s">
        <v>385</v>
      </c>
      <c r="H4" s="208" t="s">
        <v>386</v>
      </c>
      <c r="I4" s="208" t="s">
        <v>390</v>
      </c>
      <c r="J4" s="208" t="s">
        <v>385</v>
      </c>
      <c r="K4" s="208" t="s">
        <v>386</v>
      </c>
      <c r="O4" s="208" t="s">
        <v>390</v>
      </c>
      <c r="P4" s="208" t="s">
        <v>385</v>
      </c>
      <c r="Q4" s="208" t="s">
        <v>386</v>
      </c>
    </row>
    <row r="5" s="4" customFormat="1" ht="21.75" customHeight="1" spans="1:17">
      <c r="A5" s="209">
        <v>1</v>
      </c>
      <c r="B5" s="209">
        <v>2</v>
      </c>
      <c r="C5" s="209">
        <v>3</v>
      </c>
      <c r="D5" s="209">
        <v>4</v>
      </c>
      <c r="E5" s="209">
        <v>5</v>
      </c>
      <c r="F5" s="209">
        <v>6</v>
      </c>
      <c r="G5" s="210">
        <v>7</v>
      </c>
      <c r="H5" s="210">
        <v>8</v>
      </c>
      <c r="I5" s="210">
        <v>9</v>
      </c>
      <c r="J5" s="210">
        <v>10</v>
      </c>
      <c r="K5" s="210">
        <v>11</v>
      </c>
      <c r="O5" s="209">
        <v>6</v>
      </c>
      <c r="P5" s="210">
        <v>7</v>
      </c>
      <c r="Q5" s="210">
        <v>8</v>
      </c>
    </row>
    <row r="6" s="4" customFormat="1" ht="21.75" customHeight="1" spans="1:17">
      <c r="A6" s="227"/>
      <c r="B6" s="212"/>
      <c r="C6" s="213">
        <f t="shared" ref="C6:H6" si="0">SUM(C7:C76)</f>
        <v>198203.6207</v>
      </c>
      <c r="D6" s="213">
        <f t="shared" si="0"/>
        <v>42933.70428</v>
      </c>
      <c r="E6" s="213">
        <f t="shared" si="0"/>
        <v>155269.91642</v>
      </c>
      <c r="F6" s="213" t="e">
        <f t="shared" si="0"/>
        <v>#REF!</v>
      </c>
      <c r="G6" s="213" t="e">
        <f t="shared" si="0"/>
        <v>#REF!</v>
      </c>
      <c r="H6" s="213" t="e">
        <f t="shared" si="0"/>
        <v>#REF!</v>
      </c>
      <c r="I6" s="224" t="e">
        <f t="shared" ref="I6:I69" si="1">IF(C6=0,"",F6/C6)</f>
        <v>#REF!</v>
      </c>
      <c r="J6" s="224" t="e">
        <f t="shared" ref="J6:J69" si="2">IF(D6=0,"",G6/D6)</f>
        <v>#REF!</v>
      </c>
      <c r="K6" s="224" t="e">
        <f t="shared" ref="K6:K69" si="3">IF(E6=0,"",H6/E6)</f>
        <v>#REF!</v>
      </c>
      <c r="O6" s="213">
        <f t="shared" ref="O6:Q6" si="4">SUM(O7:O76)</f>
        <v>302779.341749</v>
      </c>
      <c r="P6" s="213">
        <f t="shared" si="4"/>
        <v>42761.979554</v>
      </c>
      <c r="Q6" s="213">
        <f t="shared" si="4"/>
        <v>260017.362195</v>
      </c>
    </row>
    <row r="7" s="4" customFormat="1" ht="21.75" customHeight="1" spans="1:17">
      <c r="A7" s="215" t="s">
        <v>1275</v>
      </c>
      <c r="B7" s="215" t="s">
        <v>1276</v>
      </c>
      <c r="C7" s="216">
        <f t="shared" ref="C7:C70" si="5">SUM(D7:E7)</f>
        <v>3255.549666</v>
      </c>
      <c r="D7" s="216">
        <f>SUMIFS('基本支出总表（开）'!G:G,'基本支出总表（开）'!B:B,B7)</f>
        <v>988.469666</v>
      </c>
      <c r="E7" s="216">
        <f>SUMIFS('项目支出总表（开）'!G:G,'项目支出总表（开）'!B:B,B7)</f>
        <v>2267.08</v>
      </c>
      <c r="F7" s="216" t="e">
        <f t="shared" ref="F7:F70" si="6">SUM(G7:H7)</f>
        <v>#REF!</v>
      </c>
      <c r="G7" s="216" t="e">
        <f>SUMIFS('基本支出总表（开）'!#REF!,'基本支出总表（开）'!B:B,B7)</f>
        <v>#REF!</v>
      </c>
      <c r="H7" s="216" t="e">
        <f>SUMIFS('项目支出总表（开）'!#REF!,'项目支出总表（开）'!B:B,B7)+SUMIFS('项目支出总表（开）'!#REF!,'项目支出总表（开）'!B:B,B7)</f>
        <v>#REF!</v>
      </c>
      <c r="I7" s="225" t="e">
        <f t="shared" si="1"/>
        <v>#REF!</v>
      </c>
      <c r="J7" s="225" t="e">
        <f t="shared" si="2"/>
        <v>#REF!</v>
      </c>
      <c r="K7" s="225" t="e">
        <f t="shared" si="3"/>
        <v>#REF!</v>
      </c>
      <c r="O7" s="216">
        <f t="shared" ref="O7:O70" si="7">SUM(P7:Q7)</f>
        <v>3548.969466</v>
      </c>
      <c r="P7" s="216">
        <f>SUMIFS('基本支出总表（开）'!M:M,'基本支出总表（开）'!B:B,B7)</f>
        <v>1073.469666</v>
      </c>
      <c r="Q7" s="216">
        <f>SUMIFS('项目支出总表（开）'!V:V,'项目支出总表（开）'!B:B,B7)</f>
        <v>2475.4998</v>
      </c>
    </row>
    <row r="8" s="4" customFormat="1" ht="21.75" customHeight="1" spans="1:17">
      <c r="A8" s="215" t="s">
        <v>1277</v>
      </c>
      <c r="B8" s="215" t="s">
        <v>1278</v>
      </c>
      <c r="C8" s="216">
        <f t="shared" si="5"/>
        <v>1465.125936</v>
      </c>
      <c r="D8" s="216">
        <f>SUMIFS('基本支出总表（开）'!G:G,'基本支出总表（开）'!B:B,B8)</f>
        <v>573.945936</v>
      </c>
      <c r="E8" s="216">
        <f>SUMIFS('项目支出总表（开）'!G:G,'项目支出总表（开）'!B:B,B8)</f>
        <v>891.18</v>
      </c>
      <c r="F8" s="216" t="e">
        <f t="shared" si="6"/>
        <v>#REF!</v>
      </c>
      <c r="G8" s="216" t="e">
        <f>SUMIFS('基本支出总表（开）'!#REF!,'基本支出总表（开）'!B:B,B8)</f>
        <v>#REF!</v>
      </c>
      <c r="H8" s="216" t="e">
        <f>SUMIFS('项目支出总表（开）'!#REF!,'项目支出总表（开）'!B:B,B8)+SUMIFS('项目支出总表（开）'!#REF!,'项目支出总表（开）'!B:B,B8)</f>
        <v>#REF!</v>
      </c>
      <c r="I8" s="225" t="e">
        <f t="shared" si="1"/>
        <v>#REF!</v>
      </c>
      <c r="J8" s="225" t="e">
        <f t="shared" si="2"/>
        <v>#REF!</v>
      </c>
      <c r="K8" s="225" t="e">
        <f t="shared" si="3"/>
        <v>#REF!</v>
      </c>
      <c r="O8" s="216">
        <f t="shared" si="7"/>
        <v>1519.825936</v>
      </c>
      <c r="P8" s="216">
        <f>SUMIFS('基本支出总表（开）'!M:M,'基本支出总表（开）'!B:B,B8)</f>
        <v>656.945936</v>
      </c>
      <c r="Q8" s="216">
        <f>SUMIFS('项目支出总表（开）'!V:V,'项目支出总表（开）'!B:B,B8)</f>
        <v>862.88</v>
      </c>
    </row>
    <row r="9" s="4" customFormat="1" ht="21.75" customHeight="1" spans="1:17">
      <c r="A9" s="215" t="s">
        <v>1279</v>
      </c>
      <c r="B9" s="215" t="s">
        <v>1280</v>
      </c>
      <c r="C9" s="216">
        <f t="shared" si="5"/>
        <v>1298.934659</v>
      </c>
      <c r="D9" s="216">
        <f>SUMIFS('基本支出总表（开）'!G:G,'基本支出总表（开）'!B:B,B9)</f>
        <v>775.184659</v>
      </c>
      <c r="E9" s="216">
        <f>SUMIFS('项目支出总表（开）'!G:G,'项目支出总表（开）'!B:B,B9)</f>
        <v>523.75</v>
      </c>
      <c r="F9" s="216" t="e">
        <f t="shared" si="6"/>
        <v>#REF!</v>
      </c>
      <c r="G9" s="216" t="e">
        <f>SUMIFS('基本支出总表（开）'!#REF!,'基本支出总表（开）'!B:B,B9)</f>
        <v>#REF!</v>
      </c>
      <c r="H9" s="216" t="e">
        <f>SUMIFS('项目支出总表（开）'!#REF!,'项目支出总表（开）'!B:B,B9)+SUMIFS('项目支出总表（开）'!#REF!,'项目支出总表（开）'!B:B,B9)</f>
        <v>#REF!</v>
      </c>
      <c r="I9" s="225" t="e">
        <f t="shared" si="1"/>
        <v>#REF!</v>
      </c>
      <c r="J9" s="225" t="e">
        <f t="shared" si="2"/>
        <v>#REF!</v>
      </c>
      <c r="K9" s="225" t="e">
        <f t="shared" si="3"/>
        <v>#REF!</v>
      </c>
      <c r="O9" s="216">
        <f t="shared" si="7"/>
        <v>1144.254659</v>
      </c>
      <c r="P9" s="216">
        <f>SUMIFS('基本支出总表（开）'!M:M,'基本支出总表（开）'!B:B,B9)</f>
        <v>775.184659</v>
      </c>
      <c r="Q9" s="216">
        <f>SUMIFS('项目支出总表（开）'!V:V,'项目支出总表（开）'!B:B,B9)</f>
        <v>369.07</v>
      </c>
    </row>
    <row r="10" s="4" customFormat="1" ht="21.75" customHeight="1" spans="1:17">
      <c r="A10" s="215" t="s">
        <v>1281</v>
      </c>
      <c r="B10" s="215" t="s">
        <v>1282</v>
      </c>
      <c r="C10" s="216">
        <f t="shared" si="5"/>
        <v>3346.96674</v>
      </c>
      <c r="D10" s="216">
        <f>SUMIFS('基本支出总表（开）'!G:G,'基本支出总表（开）'!B:B,B10)</f>
        <v>499.43674</v>
      </c>
      <c r="E10" s="216">
        <f>SUMIFS('项目支出总表（开）'!G:G,'项目支出总表（开）'!B:B,B10)</f>
        <v>2847.53</v>
      </c>
      <c r="F10" s="216" t="e">
        <f t="shared" si="6"/>
        <v>#REF!</v>
      </c>
      <c r="G10" s="216" t="e">
        <f>SUMIFS('基本支出总表（开）'!#REF!,'基本支出总表（开）'!B:B,B10)</f>
        <v>#REF!</v>
      </c>
      <c r="H10" s="216" t="e">
        <f>SUMIFS('项目支出总表（开）'!#REF!,'项目支出总表（开）'!B:B,B10)+SUMIFS('项目支出总表（开）'!#REF!,'项目支出总表（开）'!B:B,B10)</f>
        <v>#REF!</v>
      </c>
      <c r="I10" s="225" t="e">
        <f t="shared" si="1"/>
        <v>#REF!</v>
      </c>
      <c r="J10" s="225" t="e">
        <f t="shared" si="2"/>
        <v>#REF!</v>
      </c>
      <c r="K10" s="225" t="e">
        <f t="shared" si="3"/>
        <v>#REF!</v>
      </c>
      <c r="O10" s="216">
        <f t="shared" si="7"/>
        <v>3154.80674</v>
      </c>
      <c r="P10" s="216">
        <f>SUMIFS('基本支出总表（开）'!M:M,'基本支出总表（开）'!B:B,B10)</f>
        <v>499.43674</v>
      </c>
      <c r="Q10" s="216">
        <f>SUMIFS('项目支出总表（开）'!V:V,'项目支出总表（开）'!B:B,B10)</f>
        <v>2655.37</v>
      </c>
    </row>
    <row r="11" s="4" customFormat="1" ht="21.75" customHeight="1" spans="1:17">
      <c r="A11" s="215" t="s">
        <v>1283</v>
      </c>
      <c r="B11" s="215" t="s">
        <v>1284</v>
      </c>
      <c r="C11" s="216">
        <f t="shared" si="5"/>
        <v>43.110457</v>
      </c>
      <c r="D11" s="216">
        <f>SUMIFS('基本支出总表（开）'!G:G,'基本支出总表（开）'!B:B,B11)</f>
        <v>17.110457</v>
      </c>
      <c r="E11" s="216">
        <f>SUMIFS('项目支出总表（开）'!G:G,'项目支出总表（开）'!B:B,B11)</f>
        <v>26</v>
      </c>
      <c r="F11" s="216" t="e">
        <f t="shared" si="6"/>
        <v>#REF!</v>
      </c>
      <c r="G11" s="216" t="e">
        <f>SUMIFS('基本支出总表（开）'!#REF!,'基本支出总表（开）'!B:B,B11)</f>
        <v>#REF!</v>
      </c>
      <c r="H11" s="216" t="e">
        <f>SUMIFS('项目支出总表（开）'!#REF!,'项目支出总表（开）'!B:B,B11)+SUMIFS('项目支出总表（开）'!#REF!,'项目支出总表（开）'!B:B,B11)</f>
        <v>#REF!</v>
      </c>
      <c r="I11" s="225" t="e">
        <f t="shared" si="1"/>
        <v>#REF!</v>
      </c>
      <c r="J11" s="225" t="e">
        <f t="shared" si="2"/>
        <v>#REF!</v>
      </c>
      <c r="K11" s="225" t="e">
        <f t="shared" si="3"/>
        <v>#REF!</v>
      </c>
      <c r="O11" s="216">
        <f t="shared" si="7"/>
        <v>41.550457</v>
      </c>
      <c r="P11" s="216">
        <f>SUMIFS('基本支出总表（开）'!M:M,'基本支出总表（开）'!B:B,B11)</f>
        <v>20.750457</v>
      </c>
      <c r="Q11" s="216">
        <f>SUMIFS('项目支出总表（开）'!V:V,'项目支出总表（开）'!B:B,B11)</f>
        <v>20.8</v>
      </c>
    </row>
    <row r="12" s="4" customFormat="1" ht="21.75" customHeight="1" spans="1:17">
      <c r="A12" s="215" t="s">
        <v>1285</v>
      </c>
      <c r="B12" s="215" t="s">
        <v>1286</v>
      </c>
      <c r="C12" s="216">
        <f t="shared" si="5"/>
        <v>1048.282356</v>
      </c>
      <c r="D12" s="216">
        <f>SUMIFS('基本支出总表（开）'!G:G,'基本支出总表（开）'!B:B,B12)</f>
        <v>870.892356</v>
      </c>
      <c r="E12" s="216">
        <f>SUMIFS('项目支出总表（开）'!G:G,'项目支出总表（开）'!B:B,B12)</f>
        <v>177.39</v>
      </c>
      <c r="F12" s="216" t="e">
        <f t="shared" si="6"/>
        <v>#REF!</v>
      </c>
      <c r="G12" s="216" t="e">
        <f>SUMIFS('基本支出总表（开）'!#REF!,'基本支出总表（开）'!B:B,B12)</f>
        <v>#REF!</v>
      </c>
      <c r="H12" s="216" t="e">
        <f>SUMIFS('项目支出总表（开）'!#REF!,'项目支出总表（开）'!B:B,B12)+SUMIFS('项目支出总表（开）'!#REF!,'项目支出总表（开）'!B:B,B12)</f>
        <v>#REF!</v>
      </c>
      <c r="I12" s="225" t="e">
        <f t="shared" si="1"/>
        <v>#REF!</v>
      </c>
      <c r="J12" s="225" t="e">
        <f t="shared" si="2"/>
        <v>#REF!</v>
      </c>
      <c r="K12" s="225" t="e">
        <f t="shared" si="3"/>
        <v>#REF!</v>
      </c>
      <c r="O12" s="216">
        <f t="shared" si="7"/>
        <v>1076.690696</v>
      </c>
      <c r="P12" s="216">
        <f>SUMIFS('基本支出总表（开）'!M:M,'基本支出总表（开）'!B:B,B12)</f>
        <v>870.892356</v>
      </c>
      <c r="Q12" s="216">
        <f>SUMIFS('项目支出总表（开）'!V:V,'项目支出总表（开）'!B:B,B12)</f>
        <v>205.79834</v>
      </c>
    </row>
    <row r="13" s="4" customFormat="1" ht="21.75" customHeight="1" spans="1:17">
      <c r="A13" s="215" t="s">
        <v>1287</v>
      </c>
      <c r="B13" s="215" t="s">
        <v>1288</v>
      </c>
      <c r="C13" s="216">
        <f t="shared" si="5"/>
        <v>812.648682</v>
      </c>
      <c r="D13" s="216">
        <f>SUMIFS('基本支出总表（开）'!G:G,'基本支出总表（开）'!B:B,B13)</f>
        <v>489.148682</v>
      </c>
      <c r="E13" s="216">
        <f>SUMIFS('项目支出总表（开）'!G:G,'项目支出总表（开）'!B:B,B13)</f>
        <v>323.5</v>
      </c>
      <c r="F13" s="216" t="e">
        <f t="shared" si="6"/>
        <v>#REF!</v>
      </c>
      <c r="G13" s="216" t="e">
        <f>SUMIFS('基本支出总表（开）'!#REF!,'基本支出总表（开）'!B:B,B13)</f>
        <v>#REF!</v>
      </c>
      <c r="H13" s="216" t="e">
        <f>SUMIFS('项目支出总表（开）'!#REF!,'项目支出总表（开）'!B:B,B13)+SUMIFS('项目支出总表（开）'!#REF!,'项目支出总表（开）'!B:B,B13)</f>
        <v>#REF!</v>
      </c>
      <c r="I13" s="225" t="e">
        <f t="shared" si="1"/>
        <v>#REF!</v>
      </c>
      <c r="J13" s="225" t="e">
        <f t="shared" si="2"/>
        <v>#REF!</v>
      </c>
      <c r="K13" s="225" t="e">
        <f t="shared" si="3"/>
        <v>#REF!</v>
      </c>
      <c r="O13" s="216">
        <f t="shared" si="7"/>
        <v>852.396182</v>
      </c>
      <c r="P13" s="216">
        <f>SUMIFS('基本支出总表（开）'!M:M,'基本支出总表（开）'!B:B,B13)</f>
        <v>489.148682</v>
      </c>
      <c r="Q13" s="216">
        <f>SUMIFS('项目支出总表（开）'!V:V,'项目支出总表（开）'!B:B,B13)</f>
        <v>363.2475</v>
      </c>
    </row>
    <row r="14" s="4" customFormat="1" ht="21.75" customHeight="1" spans="1:17">
      <c r="A14" s="215" t="s">
        <v>1289</v>
      </c>
      <c r="B14" s="215" t="s">
        <v>1290</v>
      </c>
      <c r="C14" s="216">
        <f t="shared" si="5"/>
        <v>286.867267</v>
      </c>
      <c r="D14" s="216">
        <f>SUMIFS('基本支出总表（开）'!G:G,'基本支出总表（开）'!B:B,B14)</f>
        <v>186.867267</v>
      </c>
      <c r="E14" s="216">
        <f>SUMIFS('项目支出总表（开）'!G:G,'项目支出总表（开）'!B:B,B14)</f>
        <v>100</v>
      </c>
      <c r="F14" s="216" t="e">
        <f t="shared" si="6"/>
        <v>#REF!</v>
      </c>
      <c r="G14" s="216" t="e">
        <f>SUMIFS('基本支出总表（开）'!#REF!,'基本支出总表（开）'!B:B,B14)</f>
        <v>#REF!</v>
      </c>
      <c r="H14" s="216" t="e">
        <f>SUMIFS('项目支出总表（开）'!#REF!,'项目支出总表（开）'!B:B,B14)+SUMIFS('项目支出总表（开）'!#REF!,'项目支出总表（开）'!B:B,B14)</f>
        <v>#REF!</v>
      </c>
      <c r="I14" s="225" t="e">
        <f t="shared" si="1"/>
        <v>#REF!</v>
      </c>
      <c r="J14" s="225" t="e">
        <f t="shared" si="2"/>
        <v>#REF!</v>
      </c>
      <c r="K14" s="225" t="e">
        <f t="shared" si="3"/>
        <v>#REF!</v>
      </c>
      <c r="O14" s="216">
        <f t="shared" si="7"/>
        <v>278.787267</v>
      </c>
      <c r="P14" s="216">
        <f>SUMIFS('基本支出总表（开）'!M:M,'基本支出总表（开）'!B:B,B14)</f>
        <v>186.867267</v>
      </c>
      <c r="Q14" s="216">
        <f>SUMIFS('项目支出总表（开）'!V:V,'项目支出总表（开）'!B:B,B14)</f>
        <v>91.92</v>
      </c>
    </row>
    <row r="15" s="4" customFormat="1" ht="21.75" customHeight="1" spans="1:17">
      <c r="A15" s="215" t="s">
        <v>1291</v>
      </c>
      <c r="B15" s="215" t="s">
        <v>1292</v>
      </c>
      <c r="C15" s="216">
        <f t="shared" si="5"/>
        <v>275.110553</v>
      </c>
      <c r="D15" s="216">
        <f>SUMIFS('基本支出总表（开）'!G:G,'基本支出总表（开）'!B:B,B15)</f>
        <v>186.640553</v>
      </c>
      <c r="E15" s="216">
        <f>SUMIFS('项目支出总表（开）'!G:G,'项目支出总表（开）'!B:B,B15)</f>
        <v>88.47</v>
      </c>
      <c r="F15" s="216" t="e">
        <f t="shared" si="6"/>
        <v>#REF!</v>
      </c>
      <c r="G15" s="216" t="e">
        <f>SUMIFS('基本支出总表（开）'!#REF!,'基本支出总表（开）'!B:B,B15)</f>
        <v>#REF!</v>
      </c>
      <c r="H15" s="216" t="e">
        <f>SUMIFS('项目支出总表（开）'!#REF!,'项目支出总表（开）'!B:B,B15)+SUMIFS('项目支出总表（开）'!#REF!,'项目支出总表（开）'!B:B,B15)</f>
        <v>#REF!</v>
      </c>
      <c r="I15" s="225" t="e">
        <f t="shared" si="1"/>
        <v>#REF!</v>
      </c>
      <c r="J15" s="225" t="e">
        <f t="shared" si="2"/>
        <v>#REF!</v>
      </c>
      <c r="K15" s="225" t="e">
        <f t="shared" si="3"/>
        <v>#REF!</v>
      </c>
      <c r="O15" s="216">
        <f t="shared" si="7"/>
        <v>291.912553</v>
      </c>
      <c r="P15" s="216">
        <f>SUMIFS('基本支出总表（开）'!M:M,'基本支出总表（开）'!B:B,B15)</f>
        <v>186.640553</v>
      </c>
      <c r="Q15" s="216">
        <f>SUMIFS('项目支出总表（开）'!V:V,'项目支出总表（开）'!B:B,B15)</f>
        <v>105.272</v>
      </c>
    </row>
    <row r="16" s="4" customFormat="1" ht="21.75" customHeight="1" spans="1:17">
      <c r="A16" s="215" t="s">
        <v>1293</v>
      </c>
      <c r="B16" s="215" t="s">
        <v>1294</v>
      </c>
      <c r="C16" s="216">
        <f t="shared" si="5"/>
        <v>1316.680627</v>
      </c>
      <c r="D16" s="216">
        <f>SUMIFS('基本支出总表（开）'!G:G,'基本支出总表（开）'!B:B,B16)</f>
        <v>261.680627</v>
      </c>
      <c r="E16" s="216">
        <f>SUMIFS('项目支出总表（开）'!G:G,'项目支出总表（开）'!B:B,B16)</f>
        <v>1055</v>
      </c>
      <c r="F16" s="216" t="e">
        <f t="shared" si="6"/>
        <v>#REF!</v>
      </c>
      <c r="G16" s="216" t="e">
        <f>SUMIFS('基本支出总表（开）'!#REF!,'基本支出总表（开）'!B:B,B16)</f>
        <v>#REF!</v>
      </c>
      <c r="H16" s="216" t="e">
        <f>SUMIFS('项目支出总表（开）'!#REF!,'项目支出总表（开）'!B:B,B16)+SUMIFS('项目支出总表（开）'!#REF!,'项目支出总表（开）'!B:B,B16)</f>
        <v>#REF!</v>
      </c>
      <c r="I16" s="225" t="e">
        <f t="shared" si="1"/>
        <v>#REF!</v>
      </c>
      <c r="J16" s="225" t="e">
        <f t="shared" si="2"/>
        <v>#REF!</v>
      </c>
      <c r="K16" s="225" t="e">
        <f t="shared" si="3"/>
        <v>#REF!</v>
      </c>
      <c r="O16" s="216">
        <f t="shared" si="7"/>
        <v>1090.263207</v>
      </c>
      <c r="P16" s="216">
        <f>SUMIFS('基本支出总表（开）'!M:M,'基本支出总表（开）'!B:B,B16)</f>
        <v>311.680627</v>
      </c>
      <c r="Q16" s="216">
        <f>SUMIFS('项目支出总表（开）'!V:V,'项目支出总表（开）'!B:B,B16)</f>
        <v>778.58258</v>
      </c>
    </row>
    <row r="17" s="4" customFormat="1" ht="21.75" customHeight="1" spans="1:17">
      <c r="A17" s="215" t="s">
        <v>1295</v>
      </c>
      <c r="B17" s="215" t="s">
        <v>1296</v>
      </c>
      <c r="C17" s="216">
        <f t="shared" si="5"/>
        <v>248.630383</v>
      </c>
      <c r="D17" s="216">
        <f>SUMIFS('基本支出总表（开）'!G:G,'基本支出总表（开）'!B:B,B17)</f>
        <v>164.630383</v>
      </c>
      <c r="E17" s="216">
        <f>SUMIFS('项目支出总表（开）'!G:G,'项目支出总表（开）'!B:B,B17)</f>
        <v>84</v>
      </c>
      <c r="F17" s="216" t="e">
        <f t="shared" si="6"/>
        <v>#REF!</v>
      </c>
      <c r="G17" s="216" t="e">
        <f>SUMIFS('基本支出总表（开）'!#REF!,'基本支出总表（开）'!B:B,B17)</f>
        <v>#REF!</v>
      </c>
      <c r="H17" s="216" t="e">
        <f>SUMIFS('项目支出总表（开）'!#REF!,'项目支出总表（开）'!B:B,B17)+SUMIFS('项目支出总表（开）'!#REF!,'项目支出总表（开）'!B:B,B17)</f>
        <v>#REF!</v>
      </c>
      <c r="I17" s="225" t="e">
        <f t="shared" si="1"/>
        <v>#REF!</v>
      </c>
      <c r="J17" s="225" t="e">
        <f t="shared" si="2"/>
        <v>#REF!</v>
      </c>
      <c r="K17" s="225" t="e">
        <f t="shared" si="3"/>
        <v>#REF!</v>
      </c>
      <c r="O17" s="216">
        <f t="shared" si="7"/>
        <v>750.232159</v>
      </c>
      <c r="P17" s="216">
        <f>SUMIFS('基本支出总表（开）'!M:M,'基本支出总表（开）'!B:B,B17)</f>
        <v>164.630383</v>
      </c>
      <c r="Q17" s="216">
        <f>SUMIFS('项目支出总表（开）'!V:V,'项目支出总表（开）'!B:B,B17)</f>
        <v>585.601776</v>
      </c>
    </row>
    <row r="18" s="4" customFormat="1" ht="21.75" customHeight="1" spans="1:17">
      <c r="A18" s="215" t="s">
        <v>1297</v>
      </c>
      <c r="B18" s="215" t="s">
        <v>1298</v>
      </c>
      <c r="C18" s="216">
        <f t="shared" si="5"/>
        <v>654.037737</v>
      </c>
      <c r="D18" s="216">
        <f>SUMIFS('基本支出总表（开）'!G:G,'基本支出总表（开）'!B:B,B18)</f>
        <v>212.237737</v>
      </c>
      <c r="E18" s="216">
        <f>SUMIFS('项目支出总表（开）'!G:G,'项目支出总表（开）'!B:B,B18)</f>
        <v>441.8</v>
      </c>
      <c r="F18" s="216" t="e">
        <f t="shared" si="6"/>
        <v>#REF!</v>
      </c>
      <c r="G18" s="216" t="e">
        <f>SUMIFS('基本支出总表（开）'!#REF!,'基本支出总表（开）'!B:B,B18)</f>
        <v>#REF!</v>
      </c>
      <c r="H18" s="216" t="e">
        <f>SUMIFS('项目支出总表（开）'!#REF!,'项目支出总表（开）'!B:B,B18)+SUMIFS('项目支出总表（开）'!#REF!,'项目支出总表（开）'!B:B,B18)</f>
        <v>#REF!</v>
      </c>
      <c r="I18" s="225" t="e">
        <f t="shared" si="1"/>
        <v>#REF!</v>
      </c>
      <c r="J18" s="225" t="e">
        <f t="shared" si="2"/>
        <v>#REF!</v>
      </c>
      <c r="K18" s="225" t="e">
        <f t="shared" si="3"/>
        <v>#REF!</v>
      </c>
      <c r="O18" s="216">
        <f t="shared" si="7"/>
        <v>679.717737</v>
      </c>
      <c r="P18" s="216">
        <f>SUMIFS('基本支出总表（开）'!M:M,'基本支出总表（开）'!B:B,B18)</f>
        <v>237.237737</v>
      </c>
      <c r="Q18" s="216">
        <f>SUMIFS('项目支出总表（开）'!V:V,'项目支出总表（开）'!B:B,B18)</f>
        <v>442.48</v>
      </c>
    </row>
    <row r="19" s="4" customFormat="1" ht="21.75" customHeight="1" spans="1:17">
      <c r="A19" s="215" t="s">
        <v>1299</v>
      </c>
      <c r="B19" s="215" t="s">
        <v>1300</v>
      </c>
      <c r="C19" s="216">
        <f t="shared" si="5"/>
        <v>20726.929942</v>
      </c>
      <c r="D19" s="216">
        <f>SUMIFS('基本支出总表（开）'!G:G,'基本支出总表（开）'!B:B,B19)</f>
        <v>393.549942</v>
      </c>
      <c r="E19" s="216">
        <f>SUMIFS('项目支出总表（开）'!G:G,'项目支出总表（开）'!B:B,B19)</f>
        <v>20333.38</v>
      </c>
      <c r="F19" s="216" t="e">
        <f t="shared" si="6"/>
        <v>#REF!</v>
      </c>
      <c r="G19" s="216" t="e">
        <f>SUMIFS('基本支出总表（开）'!#REF!,'基本支出总表（开）'!B:B,B19)</f>
        <v>#REF!</v>
      </c>
      <c r="H19" s="216" t="e">
        <f>SUMIFS('项目支出总表（开）'!#REF!,'项目支出总表（开）'!B:B,B19)+SUMIFS('项目支出总表（开）'!#REF!,'项目支出总表（开）'!B:B,B19)</f>
        <v>#REF!</v>
      </c>
      <c r="I19" s="225" t="e">
        <f t="shared" si="1"/>
        <v>#REF!</v>
      </c>
      <c r="J19" s="225" t="e">
        <f t="shared" si="2"/>
        <v>#REF!</v>
      </c>
      <c r="K19" s="225" t="e">
        <f t="shared" si="3"/>
        <v>#REF!</v>
      </c>
      <c r="O19" s="216">
        <f t="shared" si="7"/>
        <v>11066.949942</v>
      </c>
      <c r="P19" s="216">
        <f>SUMIFS('基本支出总表（开）'!M:M,'基本支出总表（开）'!B:B,B19)</f>
        <v>393.549942</v>
      </c>
      <c r="Q19" s="216">
        <f>SUMIFS('项目支出总表（开）'!V:V,'项目支出总表（开）'!B:B,B19)</f>
        <v>10673.4</v>
      </c>
    </row>
    <row r="20" s="4" customFormat="1" ht="21.75" customHeight="1" spans="1:17">
      <c r="A20" s="215" t="s">
        <v>1301</v>
      </c>
      <c r="B20" s="215" t="s">
        <v>1302</v>
      </c>
      <c r="C20" s="216">
        <f t="shared" si="5"/>
        <v>560.924396</v>
      </c>
      <c r="D20" s="216">
        <f>SUMIFS('基本支出总表（开）'!G:G,'基本支出总表（开）'!B:B,B20)</f>
        <v>178.924396</v>
      </c>
      <c r="E20" s="216">
        <f>SUMIFS('项目支出总表（开）'!G:G,'项目支出总表（开）'!B:B,B20)</f>
        <v>382</v>
      </c>
      <c r="F20" s="216" t="e">
        <f t="shared" si="6"/>
        <v>#REF!</v>
      </c>
      <c r="G20" s="216" t="e">
        <f>SUMIFS('基本支出总表（开）'!#REF!,'基本支出总表（开）'!B:B,B20)</f>
        <v>#REF!</v>
      </c>
      <c r="H20" s="216" t="e">
        <f>SUMIFS('项目支出总表（开）'!#REF!,'项目支出总表（开）'!B:B,B20)+SUMIFS('项目支出总表（开）'!#REF!,'项目支出总表（开）'!B:B,B20)</f>
        <v>#REF!</v>
      </c>
      <c r="I20" s="225" t="e">
        <f t="shared" si="1"/>
        <v>#REF!</v>
      </c>
      <c r="J20" s="225" t="e">
        <f t="shared" si="2"/>
        <v>#REF!</v>
      </c>
      <c r="K20" s="225" t="e">
        <f t="shared" si="3"/>
        <v>#REF!</v>
      </c>
      <c r="O20" s="216">
        <f t="shared" si="7"/>
        <v>544.124396</v>
      </c>
      <c r="P20" s="216">
        <f>SUMIFS('基本支出总表（开）'!M:M,'基本支出总表（开）'!B:B,B20)</f>
        <v>178.924396</v>
      </c>
      <c r="Q20" s="216">
        <f>SUMIFS('项目支出总表（开）'!V:V,'项目支出总表（开）'!B:B,B20)</f>
        <v>365.2</v>
      </c>
    </row>
    <row r="21" s="4" customFormat="1" ht="21.75" customHeight="1" spans="1:17">
      <c r="A21" s="215" t="s">
        <v>1303</v>
      </c>
      <c r="B21" s="215" t="s">
        <v>1304</v>
      </c>
      <c r="C21" s="216">
        <f t="shared" si="5"/>
        <v>93.450996</v>
      </c>
      <c r="D21" s="216">
        <f>SUMIFS('基本支出总表（开）'!G:G,'基本支出总表（开）'!B:B,B21)</f>
        <v>66.250996</v>
      </c>
      <c r="E21" s="216">
        <f>SUMIFS('项目支出总表（开）'!G:G,'项目支出总表（开）'!B:B,B21)</f>
        <v>27.2</v>
      </c>
      <c r="F21" s="216" t="e">
        <f t="shared" si="6"/>
        <v>#REF!</v>
      </c>
      <c r="G21" s="216" t="e">
        <f>SUMIFS('基本支出总表（开）'!#REF!,'基本支出总表（开）'!B:B,B21)</f>
        <v>#REF!</v>
      </c>
      <c r="H21" s="216" t="e">
        <f>SUMIFS('项目支出总表（开）'!#REF!,'项目支出总表（开）'!B:B,B21)+SUMIFS('项目支出总表（开）'!#REF!,'项目支出总表（开）'!B:B,B21)</f>
        <v>#REF!</v>
      </c>
      <c r="I21" s="225" t="e">
        <f t="shared" si="1"/>
        <v>#REF!</v>
      </c>
      <c r="J21" s="225" t="e">
        <f t="shared" si="2"/>
        <v>#REF!</v>
      </c>
      <c r="K21" s="225" t="e">
        <f t="shared" si="3"/>
        <v>#REF!</v>
      </c>
      <c r="O21" s="216">
        <f t="shared" si="7"/>
        <v>107.230996</v>
      </c>
      <c r="P21" s="216">
        <f>SUMIFS('基本支出总表（开）'!M:M,'基本支出总表（开）'!B:B,B21)</f>
        <v>79.730996</v>
      </c>
      <c r="Q21" s="216">
        <f>SUMIFS('项目支出总表（开）'!V:V,'项目支出总表（开）'!B:B,B21)</f>
        <v>27.5</v>
      </c>
    </row>
    <row r="22" s="4" customFormat="1" ht="21.75" customHeight="1" spans="1:17">
      <c r="A22" s="215" t="s">
        <v>1305</v>
      </c>
      <c r="B22" s="215" t="s">
        <v>1306</v>
      </c>
      <c r="C22" s="216">
        <f t="shared" si="5"/>
        <v>343.918514</v>
      </c>
      <c r="D22" s="216">
        <f>SUMIFS('基本支出总表（开）'!G:G,'基本支出总表（开）'!B:B,B22)</f>
        <v>240.918514</v>
      </c>
      <c r="E22" s="216">
        <f>SUMIFS('项目支出总表（开）'!G:G,'项目支出总表（开）'!B:B,B22)</f>
        <v>103</v>
      </c>
      <c r="F22" s="216" t="e">
        <f t="shared" si="6"/>
        <v>#REF!</v>
      </c>
      <c r="G22" s="216" t="e">
        <f>SUMIFS('基本支出总表（开）'!#REF!,'基本支出总表（开）'!B:B,B22)</f>
        <v>#REF!</v>
      </c>
      <c r="H22" s="216" t="e">
        <f>SUMIFS('项目支出总表（开）'!#REF!,'项目支出总表（开）'!B:B,B22)+SUMIFS('项目支出总表（开）'!#REF!,'项目支出总表（开）'!B:B,B22)</f>
        <v>#REF!</v>
      </c>
      <c r="I22" s="225" t="e">
        <f t="shared" si="1"/>
        <v>#REF!</v>
      </c>
      <c r="J22" s="225" t="e">
        <f t="shared" si="2"/>
        <v>#REF!</v>
      </c>
      <c r="K22" s="225" t="e">
        <f t="shared" si="3"/>
        <v>#REF!</v>
      </c>
      <c r="O22" s="216">
        <f t="shared" si="7"/>
        <v>442.418514</v>
      </c>
      <c r="P22" s="216">
        <f>SUMIFS('基本支出总表（开）'!M:M,'基本支出总表（开）'!B:B,B22)</f>
        <v>240.918514</v>
      </c>
      <c r="Q22" s="216">
        <f>SUMIFS('项目支出总表（开）'!V:V,'项目支出总表（开）'!B:B,B22)</f>
        <v>201.5</v>
      </c>
    </row>
    <row r="23" s="4" customFormat="1" ht="21.75" customHeight="1" spans="1:17">
      <c r="A23" s="215" t="s">
        <v>1307</v>
      </c>
      <c r="B23" s="215" t="s">
        <v>1308</v>
      </c>
      <c r="C23" s="216">
        <f t="shared" si="5"/>
        <v>2349.701527</v>
      </c>
      <c r="D23" s="216">
        <f>SUMIFS('基本支出总表（开）'!G:G,'基本支出总表（开）'!B:B,B23)</f>
        <v>329.231527</v>
      </c>
      <c r="E23" s="216">
        <f>SUMIFS('项目支出总表（开）'!G:G,'项目支出总表（开）'!B:B,B23)</f>
        <v>2020.47</v>
      </c>
      <c r="F23" s="216" t="e">
        <f t="shared" si="6"/>
        <v>#REF!</v>
      </c>
      <c r="G23" s="216" t="e">
        <f>SUMIFS('基本支出总表（开）'!#REF!,'基本支出总表（开）'!B:B,B23)</f>
        <v>#REF!</v>
      </c>
      <c r="H23" s="216" t="e">
        <f>SUMIFS('项目支出总表（开）'!#REF!,'项目支出总表（开）'!B:B,B23)+SUMIFS('项目支出总表（开）'!#REF!,'项目支出总表（开）'!B:B,B23)</f>
        <v>#REF!</v>
      </c>
      <c r="I23" s="225" t="e">
        <f t="shared" si="1"/>
        <v>#REF!</v>
      </c>
      <c r="J23" s="225" t="e">
        <f t="shared" si="2"/>
        <v>#REF!</v>
      </c>
      <c r="K23" s="225" t="e">
        <f t="shared" si="3"/>
        <v>#REF!</v>
      </c>
      <c r="O23" s="216">
        <f t="shared" si="7"/>
        <v>4652.612927</v>
      </c>
      <c r="P23" s="216">
        <f>SUMIFS('基本支出总表（开）'!M:M,'基本支出总表（开）'!B:B,B23)</f>
        <v>329.231527</v>
      </c>
      <c r="Q23" s="216">
        <f>SUMIFS('项目支出总表（开）'!V:V,'项目支出总表（开）'!B:B,B23)</f>
        <v>4323.3814</v>
      </c>
    </row>
    <row r="24" s="4" customFormat="1" ht="21.75" customHeight="1" spans="1:17">
      <c r="A24" s="215" t="s">
        <v>1309</v>
      </c>
      <c r="B24" s="215" t="s">
        <v>1310</v>
      </c>
      <c r="C24" s="216">
        <f t="shared" si="5"/>
        <v>10193.90164</v>
      </c>
      <c r="D24" s="216">
        <f>SUMIFS('基本支出总表（开）'!G:G,'基本支出总表（开）'!B:B,B24)</f>
        <v>416.90164</v>
      </c>
      <c r="E24" s="216">
        <f>SUMIFS('项目支出总表（开）'!G:G,'项目支出总表（开）'!B:B,B24)</f>
        <v>9777</v>
      </c>
      <c r="F24" s="216" t="e">
        <f t="shared" si="6"/>
        <v>#REF!</v>
      </c>
      <c r="G24" s="216" t="e">
        <f>SUMIFS('基本支出总表（开）'!#REF!,'基本支出总表（开）'!B:B,B24)</f>
        <v>#REF!</v>
      </c>
      <c r="H24" s="216" t="e">
        <f>SUMIFS('项目支出总表（开）'!#REF!,'项目支出总表（开）'!B:B,B24)+SUMIFS('项目支出总表（开）'!#REF!,'项目支出总表（开）'!B:B,B24)</f>
        <v>#REF!</v>
      </c>
      <c r="I24" s="225" t="e">
        <f t="shared" si="1"/>
        <v>#REF!</v>
      </c>
      <c r="J24" s="225" t="e">
        <f t="shared" si="2"/>
        <v>#REF!</v>
      </c>
      <c r="K24" s="225" t="e">
        <f t="shared" si="3"/>
        <v>#REF!</v>
      </c>
      <c r="O24" s="216">
        <f t="shared" si="7"/>
        <v>8413.18594</v>
      </c>
      <c r="P24" s="216">
        <f>SUMIFS('基本支出总表（开）'!M:M,'基本支出总表（开）'!B:B,B24)</f>
        <v>416.90164</v>
      </c>
      <c r="Q24" s="216">
        <f>SUMIFS('项目支出总表（开）'!V:V,'项目支出总表（开）'!B:B,B24)</f>
        <v>7996.2843</v>
      </c>
    </row>
    <row r="25" s="4" customFormat="1" ht="21.75" customHeight="1" spans="1:17">
      <c r="A25" s="215" t="s">
        <v>1311</v>
      </c>
      <c r="B25" s="215" t="s">
        <v>1312</v>
      </c>
      <c r="C25" s="216">
        <f t="shared" si="5"/>
        <v>7001.485933</v>
      </c>
      <c r="D25" s="216">
        <f>SUMIFS('基本支出总表（开）'!G:G,'基本支出总表（开）'!B:B,B25)</f>
        <v>244.685933</v>
      </c>
      <c r="E25" s="216">
        <f>SUMIFS('项目支出总表（开）'!G:G,'项目支出总表（开）'!B:B,B25)</f>
        <v>6756.8</v>
      </c>
      <c r="F25" s="216" t="e">
        <f t="shared" si="6"/>
        <v>#REF!</v>
      </c>
      <c r="G25" s="216" t="e">
        <f>SUMIFS('基本支出总表（开）'!#REF!,'基本支出总表（开）'!B:B,B25)</f>
        <v>#REF!</v>
      </c>
      <c r="H25" s="216" t="e">
        <f>SUMIFS('项目支出总表（开）'!#REF!,'项目支出总表（开）'!B:B,B25)+SUMIFS('项目支出总表（开）'!#REF!,'项目支出总表（开）'!B:B,B25)</f>
        <v>#REF!</v>
      </c>
      <c r="I25" s="225" t="e">
        <f t="shared" si="1"/>
        <v>#REF!</v>
      </c>
      <c r="J25" s="225" t="e">
        <f t="shared" si="2"/>
        <v>#REF!</v>
      </c>
      <c r="K25" s="225" t="e">
        <f t="shared" si="3"/>
        <v>#REF!</v>
      </c>
      <c r="O25" s="216">
        <f t="shared" si="7"/>
        <v>6323.255933</v>
      </c>
      <c r="P25" s="216">
        <f>SUMIFS('基本支出总表（开）'!M:M,'基本支出总表（开）'!B:B,B25)</f>
        <v>244.685933</v>
      </c>
      <c r="Q25" s="216">
        <f>SUMIFS('项目支出总表（开）'!V:V,'项目支出总表（开）'!B:B,B25)</f>
        <v>6078.57</v>
      </c>
    </row>
    <row r="26" s="4" customFormat="1" ht="21.75" customHeight="1" spans="1:17">
      <c r="A26" s="215" t="s">
        <v>1313</v>
      </c>
      <c r="B26" s="215" t="s">
        <v>1314</v>
      </c>
      <c r="C26" s="216">
        <f t="shared" si="5"/>
        <v>302.620816</v>
      </c>
      <c r="D26" s="216">
        <f>SUMIFS('基本支出总表（开）'!G:G,'基本支出总表（开）'!B:B,B26)</f>
        <v>27.320816</v>
      </c>
      <c r="E26" s="216">
        <f>SUMIFS('项目支出总表（开）'!G:G,'项目支出总表（开）'!B:B,B26)</f>
        <v>275.3</v>
      </c>
      <c r="F26" s="216" t="e">
        <f t="shared" si="6"/>
        <v>#REF!</v>
      </c>
      <c r="G26" s="216" t="e">
        <f>SUMIFS('基本支出总表（开）'!#REF!,'基本支出总表（开）'!B:B,B26)</f>
        <v>#REF!</v>
      </c>
      <c r="H26" s="216" t="e">
        <f>SUMIFS('项目支出总表（开）'!#REF!,'项目支出总表（开）'!B:B,B26)+SUMIFS('项目支出总表（开）'!#REF!,'项目支出总表（开）'!B:B,B26)</f>
        <v>#REF!</v>
      </c>
      <c r="I26" s="225" t="e">
        <f t="shared" si="1"/>
        <v>#REF!</v>
      </c>
      <c r="J26" s="225" t="e">
        <f t="shared" si="2"/>
        <v>#REF!</v>
      </c>
      <c r="K26" s="225" t="e">
        <f t="shared" si="3"/>
        <v>#REF!</v>
      </c>
      <c r="O26" s="216">
        <f t="shared" si="7"/>
        <v>632.673122</v>
      </c>
      <c r="P26" s="216">
        <f>SUMIFS('基本支出总表（开）'!M:M,'基本支出总表（开）'!B:B,B26)</f>
        <v>27.320816</v>
      </c>
      <c r="Q26" s="216">
        <f>SUMIFS('项目支出总表（开）'!V:V,'项目支出总表（开）'!B:B,B26)</f>
        <v>605.352306</v>
      </c>
    </row>
    <row r="27" s="4" customFormat="1" ht="21.75" customHeight="1" spans="1:17">
      <c r="A27" s="215" t="s">
        <v>1315</v>
      </c>
      <c r="B27" s="215" t="s">
        <v>1316</v>
      </c>
      <c r="C27" s="216">
        <f t="shared" si="5"/>
        <v>1305.607637</v>
      </c>
      <c r="D27" s="216">
        <f>SUMIFS('基本支出总表（开）'!G:G,'基本支出总表（开）'!B:B,B27)</f>
        <v>141.207637</v>
      </c>
      <c r="E27" s="216">
        <f>SUMIFS('项目支出总表（开）'!G:G,'项目支出总表（开）'!B:B,B27)</f>
        <v>1164.4</v>
      </c>
      <c r="F27" s="216" t="e">
        <f t="shared" si="6"/>
        <v>#REF!</v>
      </c>
      <c r="G27" s="216" t="e">
        <f>SUMIFS('基本支出总表（开）'!#REF!,'基本支出总表（开）'!B:B,B27)</f>
        <v>#REF!</v>
      </c>
      <c r="H27" s="216" t="e">
        <f>SUMIFS('项目支出总表（开）'!#REF!,'项目支出总表（开）'!B:B,B27)+SUMIFS('项目支出总表（开）'!#REF!,'项目支出总表（开）'!B:B,B27)</f>
        <v>#REF!</v>
      </c>
      <c r="I27" s="225" t="e">
        <f t="shared" si="1"/>
        <v>#REF!</v>
      </c>
      <c r="J27" s="225" t="e">
        <f t="shared" si="2"/>
        <v>#REF!</v>
      </c>
      <c r="K27" s="225" t="e">
        <f t="shared" si="3"/>
        <v>#REF!</v>
      </c>
      <c r="O27" s="216">
        <f t="shared" si="7"/>
        <v>1460.943637</v>
      </c>
      <c r="P27" s="216">
        <f>SUMIFS('基本支出总表（开）'!M:M,'基本支出总表（开）'!B:B,B27)</f>
        <v>192.207637</v>
      </c>
      <c r="Q27" s="216">
        <f>SUMIFS('项目支出总表（开）'!V:V,'项目支出总表（开）'!B:B,B27)</f>
        <v>1268.736</v>
      </c>
    </row>
    <row r="28" s="4" customFormat="1" ht="21.75" customHeight="1" spans="1:17">
      <c r="A28" s="215" t="s">
        <v>1317</v>
      </c>
      <c r="B28" s="215" t="s">
        <v>1318</v>
      </c>
      <c r="C28" s="216">
        <f t="shared" si="5"/>
        <v>1847.108754</v>
      </c>
      <c r="D28" s="216">
        <f>SUMIFS('基本支出总表（开）'!G:G,'基本支出总表（开）'!B:B,B28)</f>
        <v>271.958754</v>
      </c>
      <c r="E28" s="216">
        <f>SUMIFS('项目支出总表（开）'!G:G,'项目支出总表（开）'!B:B,B28)</f>
        <v>1575.15</v>
      </c>
      <c r="F28" s="216" t="e">
        <f t="shared" si="6"/>
        <v>#REF!</v>
      </c>
      <c r="G28" s="216" t="e">
        <f>SUMIFS('基本支出总表（开）'!#REF!,'基本支出总表（开）'!B:B,B28)</f>
        <v>#REF!</v>
      </c>
      <c r="H28" s="216" t="e">
        <f>SUMIFS('项目支出总表（开）'!#REF!,'项目支出总表（开）'!B:B,B28)+SUMIFS('项目支出总表（开）'!#REF!,'项目支出总表（开）'!B:B,B28)</f>
        <v>#REF!</v>
      </c>
      <c r="I28" s="225" t="e">
        <f t="shared" si="1"/>
        <v>#REF!</v>
      </c>
      <c r="J28" s="225" t="e">
        <f t="shared" si="2"/>
        <v>#REF!</v>
      </c>
      <c r="K28" s="225" t="e">
        <f t="shared" si="3"/>
        <v>#REF!</v>
      </c>
      <c r="O28" s="216">
        <f t="shared" si="7"/>
        <v>2146.781754</v>
      </c>
      <c r="P28" s="216">
        <f>SUMIFS('基本支出总表（开）'!M:M,'基本支出总表（开）'!B:B,B28)</f>
        <v>321.958754</v>
      </c>
      <c r="Q28" s="216">
        <f>SUMIFS('项目支出总表（开）'!V:V,'项目支出总表（开）'!B:B,B28)</f>
        <v>1824.823</v>
      </c>
    </row>
    <row r="29" s="4" customFormat="1" ht="21.75" customHeight="1" spans="1:17">
      <c r="A29" s="215" t="s">
        <v>1319</v>
      </c>
      <c r="B29" s="215" t="s">
        <v>1320</v>
      </c>
      <c r="C29" s="216">
        <f t="shared" si="5"/>
        <v>460.108762</v>
      </c>
      <c r="D29" s="216">
        <f>SUMIFS('基本支出总表（开）'!G:G,'基本支出总表（开）'!B:B,B29)</f>
        <v>451.108762</v>
      </c>
      <c r="E29" s="216">
        <f>SUMIFS('项目支出总表（开）'!G:G,'项目支出总表（开）'!B:B,B29)</f>
        <v>9</v>
      </c>
      <c r="F29" s="216" t="e">
        <f t="shared" si="6"/>
        <v>#REF!</v>
      </c>
      <c r="G29" s="216" t="e">
        <f>SUMIFS('基本支出总表（开）'!#REF!,'基本支出总表（开）'!B:B,B29)</f>
        <v>#REF!</v>
      </c>
      <c r="H29" s="216" t="e">
        <f>SUMIFS('项目支出总表（开）'!#REF!,'项目支出总表（开）'!B:B,B29)+SUMIFS('项目支出总表（开）'!#REF!,'项目支出总表（开）'!B:B,B29)</f>
        <v>#REF!</v>
      </c>
      <c r="I29" s="225" t="e">
        <f t="shared" si="1"/>
        <v>#REF!</v>
      </c>
      <c r="J29" s="225" t="e">
        <f t="shared" si="2"/>
        <v>#REF!</v>
      </c>
      <c r="K29" s="225" t="e">
        <f t="shared" si="3"/>
        <v>#REF!</v>
      </c>
      <c r="O29" s="216">
        <f t="shared" si="7"/>
        <v>594.428762</v>
      </c>
      <c r="P29" s="216">
        <f>SUMIFS('基本支出总表（开）'!M:M,'基本支出总表（开）'!B:B,B29)</f>
        <v>451.108762</v>
      </c>
      <c r="Q29" s="216">
        <f>SUMIFS('项目支出总表（开）'!V:V,'项目支出总表（开）'!B:B,B29)</f>
        <v>143.32</v>
      </c>
    </row>
    <row r="30" s="4" customFormat="1" ht="21.75" customHeight="1" spans="1:17">
      <c r="A30" s="215" t="s">
        <v>1321</v>
      </c>
      <c r="B30" s="215" t="s">
        <v>1322</v>
      </c>
      <c r="C30" s="216">
        <f t="shared" si="5"/>
        <v>290.079276</v>
      </c>
      <c r="D30" s="216">
        <f>SUMIFS('基本支出总表（开）'!G:G,'基本支出总表（开）'!B:B,B30)</f>
        <v>281.079276</v>
      </c>
      <c r="E30" s="216">
        <f>SUMIFS('项目支出总表（开）'!G:G,'项目支出总表（开）'!B:B,B30)</f>
        <v>9</v>
      </c>
      <c r="F30" s="216" t="e">
        <f t="shared" si="6"/>
        <v>#REF!</v>
      </c>
      <c r="G30" s="216" t="e">
        <f>SUMIFS('基本支出总表（开）'!#REF!,'基本支出总表（开）'!B:B,B30)</f>
        <v>#REF!</v>
      </c>
      <c r="H30" s="216" t="e">
        <f>SUMIFS('项目支出总表（开）'!#REF!,'项目支出总表（开）'!B:B,B30)+SUMIFS('项目支出总表（开）'!#REF!,'项目支出总表（开）'!B:B,B30)</f>
        <v>#REF!</v>
      </c>
      <c r="I30" s="225" t="e">
        <f t="shared" si="1"/>
        <v>#REF!</v>
      </c>
      <c r="J30" s="225" t="e">
        <f t="shared" si="2"/>
        <v>#REF!</v>
      </c>
      <c r="K30" s="225" t="e">
        <f t="shared" si="3"/>
        <v>#REF!</v>
      </c>
      <c r="O30" s="216">
        <f t="shared" si="7"/>
        <v>366.119276</v>
      </c>
      <c r="P30" s="216">
        <f>SUMIFS('基本支出总表（开）'!M:M,'基本支出总表（开）'!B:B,B30)</f>
        <v>281.079276</v>
      </c>
      <c r="Q30" s="216">
        <f>SUMIFS('项目支出总表（开）'!V:V,'项目支出总表（开）'!B:B,B30)</f>
        <v>85.04</v>
      </c>
    </row>
    <row r="31" s="4" customFormat="1" ht="21.75" customHeight="1" spans="1:17">
      <c r="A31" s="215" t="s">
        <v>1323</v>
      </c>
      <c r="B31" s="215" t="s">
        <v>1324</v>
      </c>
      <c r="C31" s="216">
        <f t="shared" si="5"/>
        <v>285.274261</v>
      </c>
      <c r="D31" s="216">
        <f>SUMIFS('基本支出总表（开）'!G:G,'基本支出总表（开）'!B:B,B31)</f>
        <v>266.274261</v>
      </c>
      <c r="E31" s="216">
        <f>SUMIFS('项目支出总表（开）'!G:G,'项目支出总表（开）'!B:B,B31)</f>
        <v>19</v>
      </c>
      <c r="F31" s="216" t="e">
        <f t="shared" si="6"/>
        <v>#REF!</v>
      </c>
      <c r="G31" s="216" t="e">
        <f>SUMIFS('基本支出总表（开）'!#REF!,'基本支出总表（开）'!B:B,B31)</f>
        <v>#REF!</v>
      </c>
      <c r="H31" s="216" t="e">
        <f>SUMIFS('项目支出总表（开）'!#REF!,'项目支出总表（开）'!B:B,B31)+SUMIFS('项目支出总表（开）'!#REF!,'项目支出总表（开）'!B:B,B31)</f>
        <v>#REF!</v>
      </c>
      <c r="I31" s="225" t="e">
        <f t="shared" si="1"/>
        <v>#REF!</v>
      </c>
      <c r="J31" s="225" t="e">
        <f t="shared" si="2"/>
        <v>#REF!</v>
      </c>
      <c r="K31" s="225" t="e">
        <f t="shared" si="3"/>
        <v>#REF!</v>
      </c>
      <c r="O31" s="216">
        <f t="shared" si="7"/>
        <v>320.634261</v>
      </c>
      <c r="P31" s="216">
        <f>SUMIFS('基本支出总表（开）'!M:M,'基本支出总表（开）'!B:B,B31)</f>
        <v>266.274261</v>
      </c>
      <c r="Q31" s="216">
        <f>SUMIFS('项目支出总表（开）'!V:V,'项目支出总表（开）'!B:B,B31)</f>
        <v>54.36</v>
      </c>
    </row>
    <row r="32" s="4" customFormat="1" ht="21.75" customHeight="1" spans="1:17">
      <c r="A32" s="215" t="s">
        <v>1325</v>
      </c>
      <c r="B32" s="215" t="s">
        <v>1326</v>
      </c>
      <c r="C32" s="216">
        <f t="shared" si="5"/>
        <v>438.265521</v>
      </c>
      <c r="D32" s="216">
        <f>SUMIFS('基本支出总表（开）'!G:G,'基本支出总表（开）'!B:B,B32)</f>
        <v>428.265521</v>
      </c>
      <c r="E32" s="216">
        <f>SUMIFS('项目支出总表（开）'!G:G,'项目支出总表（开）'!B:B,B32)</f>
        <v>10</v>
      </c>
      <c r="F32" s="216" t="e">
        <f t="shared" si="6"/>
        <v>#REF!</v>
      </c>
      <c r="G32" s="216" t="e">
        <f>SUMIFS('基本支出总表（开）'!#REF!,'基本支出总表（开）'!B:B,B32)</f>
        <v>#REF!</v>
      </c>
      <c r="H32" s="216" t="e">
        <f>SUMIFS('项目支出总表（开）'!#REF!,'项目支出总表（开）'!B:B,B32)+SUMIFS('项目支出总表（开）'!#REF!,'项目支出总表（开）'!B:B,B32)</f>
        <v>#REF!</v>
      </c>
      <c r="I32" s="225" t="e">
        <f t="shared" si="1"/>
        <v>#REF!</v>
      </c>
      <c r="J32" s="225" t="e">
        <f t="shared" si="2"/>
        <v>#REF!</v>
      </c>
      <c r="K32" s="225" t="e">
        <f t="shared" si="3"/>
        <v>#REF!</v>
      </c>
      <c r="O32" s="216">
        <f t="shared" si="7"/>
        <v>501.945521</v>
      </c>
      <c r="P32" s="216">
        <f>SUMIFS('基本支出总表（开）'!M:M,'基本支出总表（开）'!B:B,B32)</f>
        <v>428.265521</v>
      </c>
      <c r="Q32" s="216">
        <f>SUMIFS('项目支出总表（开）'!V:V,'项目支出总表（开）'!B:B,B32)</f>
        <v>73.68</v>
      </c>
    </row>
    <row r="33" s="4" customFormat="1" ht="21.75" customHeight="1" spans="1:17">
      <c r="A33" s="215" t="s">
        <v>1327</v>
      </c>
      <c r="B33" s="215" t="s">
        <v>1328</v>
      </c>
      <c r="C33" s="216">
        <f t="shared" si="5"/>
        <v>3133.812795</v>
      </c>
      <c r="D33" s="216">
        <f>SUMIFS('基本支出总表（开）'!G:G,'基本支出总表（开）'!B:B,B33)</f>
        <v>124.112795</v>
      </c>
      <c r="E33" s="216">
        <f>SUMIFS('项目支出总表（开）'!G:G,'项目支出总表（开）'!B:B,B33)</f>
        <v>3009.7</v>
      </c>
      <c r="F33" s="216" t="e">
        <f t="shared" si="6"/>
        <v>#REF!</v>
      </c>
      <c r="G33" s="216" t="e">
        <f>SUMIFS('基本支出总表（开）'!#REF!,'基本支出总表（开）'!B:B,B33)</f>
        <v>#REF!</v>
      </c>
      <c r="H33" s="216" t="e">
        <f>SUMIFS('项目支出总表（开）'!#REF!,'项目支出总表（开）'!B:B,B33)+SUMIFS('项目支出总表（开）'!#REF!,'项目支出总表（开）'!B:B,B33)</f>
        <v>#REF!</v>
      </c>
      <c r="I33" s="225" t="e">
        <f t="shared" si="1"/>
        <v>#REF!</v>
      </c>
      <c r="J33" s="225" t="e">
        <f t="shared" si="2"/>
        <v>#REF!</v>
      </c>
      <c r="K33" s="225" t="e">
        <f t="shared" si="3"/>
        <v>#REF!</v>
      </c>
      <c r="O33" s="216">
        <f t="shared" si="7"/>
        <v>2739.421897</v>
      </c>
      <c r="P33" s="216">
        <f>SUMIFS('基本支出总表（开）'!M:M,'基本支出总表（开）'!B:B,B33)</f>
        <v>132.112795</v>
      </c>
      <c r="Q33" s="216">
        <f>SUMIFS('项目支出总表（开）'!V:V,'项目支出总表（开）'!B:B,B33)</f>
        <v>2607.309102</v>
      </c>
    </row>
    <row r="34" s="4" customFormat="1" ht="21.75" customHeight="1" spans="1:17">
      <c r="A34" s="215" t="s">
        <v>1329</v>
      </c>
      <c r="B34" s="215" t="s">
        <v>1330</v>
      </c>
      <c r="C34" s="216">
        <f t="shared" si="5"/>
        <v>4335.295608</v>
      </c>
      <c r="D34" s="216">
        <f>SUMIFS('基本支出总表（开）'!G:G,'基本支出总表（开）'!B:B,B34)</f>
        <v>348.189188</v>
      </c>
      <c r="E34" s="216">
        <f>SUMIFS('项目支出总表（开）'!G:G,'项目支出总表（开）'!B:B,B34)</f>
        <v>3987.10642</v>
      </c>
      <c r="F34" s="216" t="e">
        <f t="shared" si="6"/>
        <v>#REF!</v>
      </c>
      <c r="G34" s="216" t="e">
        <f>SUMIFS('基本支出总表（开）'!#REF!,'基本支出总表（开）'!B:B,B34)</f>
        <v>#REF!</v>
      </c>
      <c r="H34" s="216" t="e">
        <f>SUMIFS('项目支出总表（开）'!#REF!,'项目支出总表（开）'!B:B,B34)+SUMIFS('项目支出总表（开）'!#REF!,'项目支出总表（开）'!B:B,B34)</f>
        <v>#REF!</v>
      </c>
      <c r="I34" s="225" t="e">
        <f t="shared" si="1"/>
        <v>#REF!</v>
      </c>
      <c r="J34" s="225" t="e">
        <f t="shared" si="2"/>
        <v>#REF!</v>
      </c>
      <c r="K34" s="225" t="e">
        <f t="shared" si="3"/>
        <v>#REF!</v>
      </c>
      <c r="O34" s="216">
        <f t="shared" si="7"/>
        <v>4773.062517</v>
      </c>
      <c r="P34" s="216">
        <f>SUMIFS('基本支出总表（开）'!M:M,'基本支出总表（开）'!B:B,B34)</f>
        <v>348.189188</v>
      </c>
      <c r="Q34" s="216">
        <f>SUMIFS('项目支出总表（开）'!V:V,'项目支出总表（开）'!B:B,B34)</f>
        <v>4424.873329</v>
      </c>
    </row>
    <row r="35" s="4" customFormat="1" ht="21.75" customHeight="1" spans="1:17">
      <c r="A35" s="215" t="s">
        <v>1331</v>
      </c>
      <c r="B35" s="215" t="s">
        <v>1332</v>
      </c>
      <c r="C35" s="216">
        <f t="shared" si="5"/>
        <v>2020.457336</v>
      </c>
      <c r="D35" s="216">
        <f>SUMIFS('基本支出总表（开）'!G:G,'基本支出总表（开）'!B:B,B35)</f>
        <v>1860.277336</v>
      </c>
      <c r="E35" s="216">
        <f>SUMIFS('项目支出总表（开）'!G:G,'项目支出总表（开）'!B:B,B35)</f>
        <v>160.18</v>
      </c>
      <c r="F35" s="216" t="e">
        <f t="shared" si="6"/>
        <v>#REF!</v>
      </c>
      <c r="G35" s="216" t="e">
        <f>SUMIFS('基本支出总表（开）'!#REF!,'基本支出总表（开）'!B:B,B35)</f>
        <v>#REF!</v>
      </c>
      <c r="H35" s="216" t="e">
        <f>SUMIFS('项目支出总表（开）'!#REF!,'项目支出总表（开）'!B:B,B35)+SUMIFS('项目支出总表（开）'!#REF!,'项目支出总表（开）'!B:B,B35)</f>
        <v>#REF!</v>
      </c>
      <c r="I35" s="225" t="e">
        <f t="shared" si="1"/>
        <v>#REF!</v>
      </c>
      <c r="J35" s="225" t="e">
        <f t="shared" si="2"/>
        <v>#REF!</v>
      </c>
      <c r="K35" s="225" t="e">
        <f t="shared" si="3"/>
        <v>#REF!</v>
      </c>
      <c r="O35" s="216">
        <f t="shared" si="7"/>
        <v>2056.771336</v>
      </c>
      <c r="P35" s="216">
        <f>SUMIFS('基本支出总表（开）'!M:M,'基本支出总表（开）'!B:B,B35)</f>
        <v>1830.277336</v>
      </c>
      <c r="Q35" s="216">
        <f>SUMIFS('项目支出总表（开）'!V:V,'项目支出总表（开）'!B:B,B35)</f>
        <v>226.494</v>
      </c>
    </row>
    <row r="36" s="4" customFormat="1" ht="21.75" customHeight="1" spans="1:17">
      <c r="A36" s="215" t="s">
        <v>1333</v>
      </c>
      <c r="B36" s="215" t="s">
        <v>1334</v>
      </c>
      <c r="C36" s="216">
        <f t="shared" si="5"/>
        <v>1728.907441</v>
      </c>
      <c r="D36" s="216">
        <f>SUMIFS('基本支出总表（开）'!G:G,'基本支出总表（开）'!B:B,B36)</f>
        <v>1560.307441</v>
      </c>
      <c r="E36" s="216">
        <f>SUMIFS('项目支出总表（开）'!G:G,'项目支出总表（开）'!B:B,B36)</f>
        <v>168.6</v>
      </c>
      <c r="F36" s="216" t="e">
        <f t="shared" si="6"/>
        <v>#REF!</v>
      </c>
      <c r="G36" s="216" t="e">
        <f>SUMIFS('基本支出总表（开）'!#REF!,'基本支出总表（开）'!B:B,B36)</f>
        <v>#REF!</v>
      </c>
      <c r="H36" s="216" t="e">
        <f>SUMIFS('项目支出总表（开）'!#REF!,'项目支出总表（开）'!B:B,B36)+SUMIFS('项目支出总表（开）'!#REF!,'项目支出总表（开）'!B:B,B36)</f>
        <v>#REF!</v>
      </c>
      <c r="I36" s="225" t="e">
        <f t="shared" si="1"/>
        <v>#REF!</v>
      </c>
      <c r="J36" s="225" t="e">
        <f t="shared" si="2"/>
        <v>#REF!</v>
      </c>
      <c r="K36" s="225" t="e">
        <f t="shared" si="3"/>
        <v>#REF!</v>
      </c>
      <c r="O36" s="216">
        <f t="shared" si="7"/>
        <v>2199.637441</v>
      </c>
      <c r="P36" s="216">
        <f>SUMIFS('基本支出总表（开）'!M:M,'基本支出总表（开）'!B:B,B36)</f>
        <v>1480.307441</v>
      </c>
      <c r="Q36" s="216">
        <f>SUMIFS('项目支出总表（开）'!V:V,'项目支出总表（开）'!B:B,B36)</f>
        <v>719.33</v>
      </c>
    </row>
    <row r="37" s="4" customFormat="1" ht="21.75" customHeight="1" spans="1:17">
      <c r="A37" s="215" t="s">
        <v>1335</v>
      </c>
      <c r="B37" s="215" t="s">
        <v>1336</v>
      </c>
      <c r="C37" s="216">
        <f t="shared" si="5"/>
        <v>1947.574847</v>
      </c>
      <c r="D37" s="216">
        <f>SUMIFS('基本支出总表（开）'!G:G,'基本支出总表（开）'!B:B,B37)</f>
        <v>1793.444847</v>
      </c>
      <c r="E37" s="216">
        <f>SUMIFS('项目支出总表（开）'!G:G,'项目支出总表（开）'!B:B,B37)</f>
        <v>154.13</v>
      </c>
      <c r="F37" s="216" t="e">
        <f t="shared" si="6"/>
        <v>#REF!</v>
      </c>
      <c r="G37" s="216" t="e">
        <f>SUMIFS('基本支出总表（开）'!#REF!,'基本支出总表（开）'!B:B,B37)</f>
        <v>#REF!</v>
      </c>
      <c r="H37" s="216" t="e">
        <f>SUMIFS('项目支出总表（开）'!#REF!,'项目支出总表（开）'!B:B,B37)+SUMIFS('项目支出总表（开）'!#REF!,'项目支出总表（开）'!B:B,B37)</f>
        <v>#REF!</v>
      </c>
      <c r="I37" s="225" t="e">
        <f t="shared" si="1"/>
        <v>#REF!</v>
      </c>
      <c r="J37" s="225" t="e">
        <f t="shared" si="2"/>
        <v>#REF!</v>
      </c>
      <c r="K37" s="225" t="e">
        <f t="shared" si="3"/>
        <v>#REF!</v>
      </c>
      <c r="O37" s="216">
        <f t="shared" si="7"/>
        <v>1868.526847</v>
      </c>
      <c r="P37" s="216">
        <f>SUMIFS('基本支出总表（开）'!M:M,'基本支出总表（开）'!B:B,B37)</f>
        <v>1693.444847</v>
      </c>
      <c r="Q37" s="216">
        <f>SUMIFS('项目支出总表（开）'!V:V,'项目支出总表（开）'!B:B,B37)</f>
        <v>175.082</v>
      </c>
    </row>
    <row r="38" s="4" customFormat="1" ht="21.75" customHeight="1" spans="1:17">
      <c r="A38" s="215" t="s">
        <v>1337</v>
      </c>
      <c r="B38" s="215" t="s">
        <v>1338</v>
      </c>
      <c r="C38" s="216">
        <f t="shared" si="5"/>
        <v>730.151831</v>
      </c>
      <c r="D38" s="216">
        <f>SUMIFS('基本支出总表（开）'!G:G,'基本支出总表（开）'!B:B,B38)</f>
        <v>692.201831</v>
      </c>
      <c r="E38" s="216">
        <f>SUMIFS('项目支出总表（开）'!G:G,'项目支出总表（开）'!B:B,B38)</f>
        <v>37.95</v>
      </c>
      <c r="F38" s="216" t="e">
        <f t="shared" si="6"/>
        <v>#REF!</v>
      </c>
      <c r="G38" s="216" t="e">
        <f>SUMIFS('基本支出总表（开）'!#REF!,'基本支出总表（开）'!B:B,B38)</f>
        <v>#REF!</v>
      </c>
      <c r="H38" s="216" t="e">
        <f>SUMIFS('项目支出总表（开）'!#REF!,'项目支出总表（开）'!B:B,B38)+SUMIFS('项目支出总表（开）'!#REF!,'项目支出总表（开）'!B:B,B38)</f>
        <v>#REF!</v>
      </c>
      <c r="I38" s="225" t="e">
        <f t="shared" si="1"/>
        <v>#REF!</v>
      </c>
      <c r="J38" s="225" t="e">
        <f t="shared" si="2"/>
        <v>#REF!</v>
      </c>
      <c r="K38" s="225" t="e">
        <f t="shared" si="3"/>
        <v>#REF!</v>
      </c>
      <c r="O38" s="216">
        <f t="shared" si="7"/>
        <v>731.193831</v>
      </c>
      <c r="P38" s="216">
        <f>SUMIFS('基本支出总表（开）'!M:M,'基本支出总表（开）'!B:B,B38)</f>
        <v>692.201831</v>
      </c>
      <c r="Q38" s="216">
        <f>SUMIFS('项目支出总表（开）'!V:V,'项目支出总表（开）'!B:B,B38)</f>
        <v>38.992</v>
      </c>
    </row>
    <row r="39" s="4" customFormat="1" ht="21.75" customHeight="1" spans="1:17">
      <c r="A39" s="215" t="s">
        <v>1339</v>
      </c>
      <c r="B39" s="215" t="s">
        <v>1340</v>
      </c>
      <c r="C39" s="216">
        <f t="shared" si="5"/>
        <v>938.87681</v>
      </c>
      <c r="D39" s="216">
        <f>SUMIFS('基本支出总表（开）'!G:G,'基本支出总表（开）'!B:B,B39)</f>
        <v>837.81181</v>
      </c>
      <c r="E39" s="216">
        <f>SUMIFS('项目支出总表（开）'!G:G,'项目支出总表（开）'!B:B,B39)</f>
        <v>101.065</v>
      </c>
      <c r="F39" s="216" t="e">
        <f t="shared" si="6"/>
        <v>#REF!</v>
      </c>
      <c r="G39" s="216" t="e">
        <f>SUMIFS('基本支出总表（开）'!#REF!,'基本支出总表（开）'!B:B,B39)</f>
        <v>#REF!</v>
      </c>
      <c r="H39" s="216" t="e">
        <f>SUMIFS('项目支出总表（开）'!#REF!,'项目支出总表（开）'!B:B,B39)+SUMIFS('项目支出总表（开）'!#REF!,'项目支出总表（开）'!B:B,B39)</f>
        <v>#REF!</v>
      </c>
      <c r="I39" s="225" t="e">
        <f t="shared" si="1"/>
        <v>#REF!</v>
      </c>
      <c r="J39" s="225" t="e">
        <f t="shared" si="2"/>
        <v>#REF!</v>
      </c>
      <c r="K39" s="225" t="e">
        <f t="shared" si="3"/>
        <v>#REF!</v>
      </c>
      <c r="O39" s="216">
        <f t="shared" si="7"/>
        <v>1199.97681</v>
      </c>
      <c r="P39" s="216">
        <f>SUMIFS('基本支出总表（开）'!M:M,'基本支出总表（开）'!B:B,B39)</f>
        <v>799.81181</v>
      </c>
      <c r="Q39" s="216">
        <f>SUMIFS('项目支出总表（开）'!V:V,'项目支出总表（开）'!B:B,B39)</f>
        <v>400.165</v>
      </c>
    </row>
    <row r="40" s="4" customFormat="1" ht="21.75" customHeight="1" spans="1:17">
      <c r="A40" s="215" t="s">
        <v>1341</v>
      </c>
      <c r="B40" s="215" t="s">
        <v>1342</v>
      </c>
      <c r="C40" s="216">
        <f t="shared" si="5"/>
        <v>1141.207848</v>
      </c>
      <c r="D40" s="216">
        <f>SUMIFS('基本支出总表（开）'!G:G,'基本支出总表（开）'!B:B,B40)</f>
        <v>1011.392848</v>
      </c>
      <c r="E40" s="216">
        <f>SUMIFS('项目支出总表（开）'!G:G,'项目支出总表（开）'!B:B,B40)</f>
        <v>129.815</v>
      </c>
      <c r="F40" s="216" t="e">
        <f t="shared" si="6"/>
        <v>#REF!</v>
      </c>
      <c r="G40" s="216" t="e">
        <f>SUMIFS('基本支出总表（开）'!#REF!,'基本支出总表（开）'!B:B,B40)</f>
        <v>#REF!</v>
      </c>
      <c r="H40" s="216" t="e">
        <f>SUMIFS('项目支出总表（开）'!#REF!,'项目支出总表（开）'!B:B,B40)+SUMIFS('项目支出总表（开）'!#REF!,'项目支出总表（开）'!B:B,B40)</f>
        <v>#REF!</v>
      </c>
      <c r="I40" s="225" t="e">
        <f t="shared" si="1"/>
        <v>#REF!</v>
      </c>
      <c r="J40" s="225" t="e">
        <f t="shared" si="2"/>
        <v>#REF!</v>
      </c>
      <c r="K40" s="225" t="e">
        <f t="shared" si="3"/>
        <v>#REF!</v>
      </c>
      <c r="O40" s="216">
        <f t="shared" si="7"/>
        <v>1081.207848</v>
      </c>
      <c r="P40" s="216">
        <f>SUMIFS('基本支出总表（开）'!M:M,'基本支出总表（开）'!B:B,B40)</f>
        <v>951.392848</v>
      </c>
      <c r="Q40" s="216">
        <f>SUMIFS('项目支出总表（开）'!V:V,'项目支出总表（开）'!B:B,B40)</f>
        <v>129.815</v>
      </c>
    </row>
    <row r="41" s="4" customFormat="1" ht="21.75" customHeight="1" spans="1:17">
      <c r="A41" s="215" t="s">
        <v>1343</v>
      </c>
      <c r="B41" s="215" t="s">
        <v>1344</v>
      </c>
      <c r="C41" s="216">
        <f t="shared" si="5"/>
        <v>2233.389123</v>
      </c>
      <c r="D41" s="216">
        <f>SUMIFS('基本支出总表（开）'!G:G,'基本支出总表（开）'!B:B,B41)</f>
        <v>1957.499123</v>
      </c>
      <c r="E41" s="216">
        <f>SUMIFS('项目支出总表（开）'!G:G,'项目支出总表（开）'!B:B,B41)</f>
        <v>275.89</v>
      </c>
      <c r="F41" s="216" t="e">
        <f t="shared" si="6"/>
        <v>#REF!</v>
      </c>
      <c r="G41" s="216" t="e">
        <f>SUMIFS('基本支出总表（开）'!#REF!,'基本支出总表（开）'!B:B,B41)</f>
        <v>#REF!</v>
      </c>
      <c r="H41" s="216" t="e">
        <f>SUMIFS('项目支出总表（开）'!#REF!,'项目支出总表（开）'!B:B,B41)+SUMIFS('项目支出总表（开）'!#REF!,'项目支出总表（开）'!B:B,B41)</f>
        <v>#REF!</v>
      </c>
      <c r="I41" s="225" t="e">
        <f t="shared" si="1"/>
        <v>#REF!</v>
      </c>
      <c r="J41" s="225" t="e">
        <f t="shared" si="2"/>
        <v>#REF!</v>
      </c>
      <c r="K41" s="225" t="e">
        <f t="shared" si="3"/>
        <v>#REF!</v>
      </c>
      <c r="O41" s="216">
        <f t="shared" si="7"/>
        <v>2143.389123</v>
      </c>
      <c r="P41" s="216">
        <f>SUMIFS('基本支出总表（开）'!M:M,'基本支出总表（开）'!B:B,B41)</f>
        <v>1867.499123</v>
      </c>
      <c r="Q41" s="216">
        <f>SUMIFS('项目支出总表（开）'!V:V,'项目支出总表（开）'!B:B,B41)</f>
        <v>275.89</v>
      </c>
    </row>
    <row r="42" s="4" customFormat="1" ht="21.75" customHeight="1" spans="1:17">
      <c r="A42" s="215" t="s">
        <v>1345</v>
      </c>
      <c r="B42" s="215" t="s">
        <v>1346</v>
      </c>
      <c r="C42" s="216">
        <f t="shared" si="5"/>
        <v>5946.765649</v>
      </c>
      <c r="D42" s="216">
        <f>SUMIFS('基本支出总表（开）'!G:G,'基本支出总表（开）'!B:B,B42)</f>
        <v>4899.455649</v>
      </c>
      <c r="E42" s="216">
        <f>SUMIFS('项目支出总表（开）'!G:G,'项目支出总表（开）'!B:B,B42)</f>
        <v>1047.31</v>
      </c>
      <c r="F42" s="216" t="e">
        <f t="shared" si="6"/>
        <v>#REF!</v>
      </c>
      <c r="G42" s="216" t="e">
        <f>SUMIFS('基本支出总表（开）'!#REF!,'基本支出总表（开）'!B:B,B42)</f>
        <v>#REF!</v>
      </c>
      <c r="H42" s="216" t="e">
        <f>SUMIFS('项目支出总表（开）'!#REF!,'项目支出总表（开）'!B:B,B42)+SUMIFS('项目支出总表（开）'!#REF!,'项目支出总表（开）'!B:B,B42)</f>
        <v>#REF!</v>
      </c>
      <c r="I42" s="225" t="e">
        <f t="shared" si="1"/>
        <v>#REF!</v>
      </c>
      <c r="J42" s="225" t="e">
        <f t="shared" si="2"/>
        <v>#REF!</v>
      </c>
      <c r="K42" s="225" t="e">
        <f t="shared" si="3"/>
        <v>#REF!</v>
      </c>
      <c r="O42" s="216">
        <f t="shared" si="7"/>
        <v>5523.025649</v>
      </c>
      <c r="P42" s="216">
        <f>SUMIFS('基本支出总表（开）'!M:M,'基本支出总表（开）'!B:B,B42)</f>
        <v>4669.455649</v>
      </c>
      <c r="Q42" s="216">
        <f>SUMIFS('项目支出总表（开）'!V:V,'项目支出总表（开）'!B:B,B42)</f>
        <v>853.57</v>
      </c>
    </row>
    <row r="43" s="4" customFormat="1" ht="21.75" customHeight="1" spans="1:17">
      <c r="A43" s="215" t="s">
        <v>1347</v>
      </c>
      <c r="B43" s="215" t="s">
        <v>1348</v>
      </c>
      <c r="C43" s="216">
        <f t="shared" si="5"/>
        <v>4486.361564</v>
      </c>
      <c r="D43" s="216">
        <f>SUMIFS('基本支出总表（开）'!G:G,'基本支出总表（开）'!B:B,B43)</f>
        <v>3644.641564</v>
      </c>
      <c r="E43" s="216">
        <f>SUMIFS('项目支出总表（开）'!G:G,'项目支出总表（开）'!B:B,B43)</f>
        <v>841.72</v>
      </c>
      <c r="F43" s="216" t="e">
        <f t="shared" si="6"/>
        <v>#REF!</v>
      </c>
      <c r="G43" s="216" t="e">
        <f>SUMIFS('基本支出总表（开）'!#REF!,'基本支出总表（开）'!B:B,B43)</f>
        <v>#REF!</v>
      </c>
      <c r="H43" s="216" t="e">
        <f>SUMIFS('项目支出总表（开）'!#REF!,'项目支出总表（开）'!B:B,B43)+SUMIFS('项目支出总表（开）'!#REF!,'项目支出总表（开）'!B:B,B43)</f>
        <v>#REF!</v>
      </c>
      <c r="I43" s="225" t="e">
        <f t="shared" si="1"/>
        <v>#REF!</v>
      </c>
      <c r="J43" s="225" t="e">
        <f t="shared" si="2"/>
        <v>#REF!</v>
      </c>
      <c r="K43" s="225" t="e">
        <f t="shared" si="3"/>
        <v>#REF!</v>
      </c>
      <c r="O43" s="216">
        <f t="shared" si="7"/>
        <v>3825.613564</v>
      </c>
      <c r="P43" s="216">
        <f>SUMIFS('基本支出总表（开）'!M:M,'基本支出总表（开）'!B:B,B43)</f>
        <v>3294.641564</v>
      </c>
      <c r="Q43" s="216">
        <f>SUMIFS('项目支出总表（开）'!V:V,'项目支出总表（开）'!B:B,B43)</f>
        <v>530.972</v>
      </c>
    </row>
    <row r="44" s="4" customFormat="1" ht="21.75" customHeight="1" spans="1:17">
      <c r="A44" s="215" t="s">
        <v>1349</v>
      </c>
      <c r="B44" s="215" t="s">
        <v>1350</v>
      </c>
      <c r="C44" s="216">
        <f t="shared" si="5"/>
        <v>4272.421562</v>
      </c>
      <c r="D44" s="216">
        <f>SUMIFS('基本支出总表（开）'!G:G,'基本支出总表（开）'!B:B,B44)</f>
        <v>2869.191562</v>
      </c>
      <c r="E44" s="216">
        <f>SUMIFS('项目支出总表（开）'!G:G,'项目支出总表（开）'!B:B,B44)</f>
        <v>1403.23</v>
      </c>
      <c r="F44" s="216" t="e">
        <f t="shared" si="6"/>
        <v>#REF!</v>
      </c>
      <c r="G44" s="216" t="e">
        <f>SUMIFS('基本支出总表（开）'!#REF!,'基本支出总表（开）'!B:B,B44)</f>
        <v>#REF!</v>
      </c>
      <c r="H44" s="216" t="e">
        <f>SUMIFS('项目支出总表（开）'!#REF!,'项目支出总表（开）'!B:B,B44)+SUMIFS('项目支出总表（开）'!#REF!,'项目支出总表（开）'!B:B,B44)</f>
        <v>#REF!</v>
      </c>
      <c r="I44" s="225" t="e">
        <f t="shared" si="1"/>
        <v>#REF!</v>
      </c>
      <c r="J44" s="225" t="e">
        <f t="shared" si="2"/>
        <v>#REF!</v>
      </c>
      <c r="K44" s="225" t="e">
        <f t="shared" si="3"/>
        <v>#REF!</v>
      </c>
      <c r="O44" s="216">
        <f t="shared" si="7"/>
        <v>3937.021562</v>
      </c>
      <c r="P44" s="216">
        <f>SUMIFS('基本支出总表（开）'!M:M,'基本支出总表（开）'!B:B,B44)</f>
        <v>2689.191562</v>
      </c>
      <c r="Q44" s="216">
        <f>SUMIFS('项目支出总表（开）'!V:V,'项目支出总表（开）'!B:B,B44)</f>
        <v>1247.83</v>
      </c>
    </row>
    <row r="45" s="4" customFormat="1" ht="21.75" customHeight="1" spans="1:17">
      <c r="A45" s="215" t="s">
        <v>1351</v>
      </c>
      <c r="B45" s="215" t="s">
        <v>1352</v>
      </c>
      <c r="C45" s="216">
        <f t="shared" si="5"/>
        <v>3482.403921</v>
      </c>
      <c r="D45" s="216">
        <f>SUMIFS('基本支出总表（开）'!G:G,'基本支出总表（开）'!B:B,B45)</f>
        <v>2064.543921</v>
      </c>
      <c r="E45" s="216">
        <f>SUMIFS('项目支出总表（开）'!G:G,'项目支出总表（开）'!B:B,B45)</f>
        <v>1417.86</v>
      </c>
      <c r="F45" s="216" t="e">
        <f t="shared" si="6"/>
        <v>#REF!</v>
      </c>
      <c r="G45" s="216" t="e">
        <f>SUMIFS('基本支出总表（开）'!#REF!,'基本支出总表（开）'!B:B,B45)</f>
        <v>#REF!</v>
      </c>
      <c r="H45" s="216" t="e">
        <f>SUMIFS('项目支出总表（开）'!#REF!,'项目支出总表（开）'!B:B,B45)+SUMIFS('项目支出总表（开）'!#REF!,'项目支出总表（开）'!B:B,B45)</f>
        <v>#REF!</v>
      </c>
      <c r="I45" s="225" t="e">
        <f t="shared" si="1"/>
        <v>#REF!</v>
      </c>
      <c r="J45" s="225" t="e">
        <f t="shared" si="2"/>
        <v>#REF!</v>
      </c>
      <c r="K45" s="225" t="e">
        <f t="shared" si="3"/>
        <v>#REF!</v>
      </c>
      <c r="O45" s="216">
        <f t="shared" si="7"/>
        <v>3324.403921</v>
      </c>
      <c r="P45" s="216">
        <f>SUMIFS('基本支出总表（开）'!M:M,'基本支出总表（开）'!B:B,B45)</f>
        <v>1994.543921</v>
      </c>
      <c r="Q45" s="216">
        <f>SUMIFS('项目支出总表（开）'!V:V,'项目支出总表（开）'!B:B,B45)</f>
        <v>1329.86</v>
      </c>
    </row>
    <row r="46" s="4" customFormat="1" ht="21.75" customHeight="1" spans="1:17">
      <c r="A46" s="215" t="s">
        <v>1353</v>
      </c>
      <c r="B46" s="215" t="s">
        <v>1354</v>
      </c>
      <c r="C46" s="216">
        <f t="shared" si="5"/>
        <v>302.188134</v>
      </c>
      <c r="D46" s="216">
        <f>SUMIFS('基本支出总表（开）'!G:G,'基本支出总表（开）'!B:B,B46)</f>
        <v>130.608134</v>
      </c>
      <c r="E46" s="216">
        <f>SUMIFS('项目支出总表（开）'!G:G,'项目支出总表（开）'!B:B,B46)</f>
        <v>171.58</v>
      </c>
      <c r="F46" s="216" t="e">
        <f t="shared" si="6"/>
        <v>#REF!</v>
      </c>
      <c r="G46" s="216" t="e">
        <f>SUMIFS('基本支出总表（开）'!#REF!,'基本支出总表（开）'!B:B,B46)</f>
        <v>#REF!</v>
      </c>
      <c r="H46" s="216" t="e">
        <f>SUMIFS('项目支出总表（开）'!#REF!,'项目支出总表（开）'!B:B,B46)+SUMIFS('项目支出总表（开）'!#REF!,'项目支出总表（开）'!B:B,B46)</f>
        <v>#REF!</v>
      </c>
      <c r="I46" s="225" t="e">
        <f t="shared" si="1"/>
        <v>#REF!</v>
      </c>
      <c r="J46" s="225" t="e">
        <f t="shared" si="2"/>
        <v>#REF!</v>
      </c>
      <c r="K46" s="225" t="e">
        <f t="shared" si="3"/>
        <v>#REF!</v>
      </c>
      <c r="O46" s="216">
        <f t="shared" si="7"/>
        <v>118.293408</v>
      </c>
      <c r="P46" s="216">
        <f>SUMIFS('基本支出总表（开）'!M:M,'基本支出总表（开）'!B:B,B46)</f>
        <v>1.713408</v>
      </c>
      <c r="Q46" s="216">
        <f>SUMIFS('项目支出总表（开）'!V:V,'项目支出总表（开）'!B:B,B46)</f>
        <v>116.58</v>
      </c>
    </row>
    <row r="47" s="4" customFormat="1" ht="21.75" customHeight="1" spans="1:17">
      <c r="A47" s="215" t="s">
        <v>1355</v>
      </c>
      <c r="B47" s="215" t="s">
        <v>1356</v>
      </c>
      <c r="C47" s="216">
        <f t="shared" si="5"/>
        <v>291.860797</v>
      </c>
      <c r="D47" s="216">
        <f>SUMIFS('基本支出总表（开）'!G:G,'基本支出总表（开）'!B:B,B47)</f>
        <v>169.320797</v>
      </c>
      <c r="E47" s="216">
        <f>SUMIFS('项目支出总表（开）'!G:G,'项目支出总表（开）'!B:B,B47)</f>
        <v>122.54</v>
      </c>
      <c r="F47" s="216" t="e">
        <f t="shared" si="6"/>
        <v>#REF!</v>
      </c>
      <c r="G47" s="216" t="e">
        <f>SUMIFS('基本支出总表（开）'!#REF!,'基本支出总表（开）'!B:B,B47)</f>
        <v>#REF!</v>
      </c>
      <c r="H47" s="216" t="e">
        <f>SUMIFS('项目支出总表（开）'!#REF!,'项目支出总表（开）'!B:B,B47)+SUMIFS('项目支出总表（开）'!#REF!,'项目支出总表（开）'!B:B,B47)</f>
        <v>#REF!</v>
      </c>
      <c r="I47" s="225" t="e">
        <f t="shared" si="1"/>
        <v>#REF!</v>
      </c>
      <c r="J47" s="225" t="e">
        <f t="shared" si="2"/>
        <v>#REF!</v>
      </c>
      <c r="K47" s="225" t="e">
        <f t="shared" si="3"/>
        <v>#REF!</v>
      </c>
      <c r="O47" s="216">
        <f t="shared" si="7"/>
        <v>368.880797</v>
      </c>
      <c r="P47" s="216">
        <f>SUMIFS('基本支出总表（开）'!M:M,'基本支出总表（开）'!B:B,B47)</f>
        <v>210.300797</v>
      </c>
      <c r="Q47" s="216">
        <f>SUMIFS('项目支出总表（开）'!V:V,'项目支出总表（开）'!B:B,B47)</f>
        <v>158.58</v>
      </c>
    </row>
    <row r="48" s="4" customFormat="1" ht="21.75" customHeight="1" spans="1:17">
      <c r="A48" s="215" t="s">
        <v>1357</v>
      </c>
      <c r="B48" s="215" t="s">
        <v>1358</v>
      </c>
      <c r="C48" s="216">
        <f t="shared" si="5"/>
        <v>1121.740105</v>
      </c>
      <c r="D48" s="216">
        <f>SUMIFS('基本支出总表（开）'!G:G,'基本支出总表（开）'!B:B,B48)</f>
        <v>88.340105</v>
      </c>
      <c r="E48" s="216">
        <f>SUMIFS('项目支出总表（开）'!G:G,'项目支出总表（开）'!B:B,B48)</f>
        <v>1033.4</v>
      </c>
      <c r="F48" s="216" t="e">
        <f t="shared" si="6"/>
        <v>#REF!</v>
      </c>
      <c r="G48" s="216" t="e">
        <f>SUMIFS('基本支出总表（开）'!#REF!,'基本支出总表（开）'!B:B,B48)</f>
        <v>#REF!</v>
      </c>
      <c r="H48" s="216" t="e">
        <f>SUMIFS('项目支出总表（开）'!#REF!,'项目支出总表（开）'!B:B,B48)+SUMIFS('项目支出总表（开）'!#REF!,'项目支出总表（开）'!B:B,B48)</f>
        <v>#REF!</v>
      </c>
      <c r="I48" s="225" t="e">
        <f t="shared" si="1"/>
        <v>#REF!</v>
      </c>
      <c r="J48" s="225" t="e">
        <f t="shared" si="2"/>
        <v>#REF!</v>
      </c>
      <c r="K48" s="225" t="e">
        <f t="shared" si="3"/>
        <v>#REF!</v>
      </c>
      <c r="O48" s="216">
        <f t="shared" si="7"/>
        <v>1138.340105</v>
      </c>
      <c r="P48" s="216">
        <f>SUMIFS('基本支出总表（开）'!M:M,'基本支出总表（开）'!B:B,B48)</f>
        <v>103.340105</v>
      </c>
      <c r="Q48" s="216">
        <f>SUMIFS('项目支出总表（开）'!V:V,'项目支出总表（开）'!B:B,B48)</f>
        <v>1035</v>
      </c>
    </row>
    <row r="49" s="4" customFormat="1" ht="21.75" customHeight="1" spans="1:17">
      <c r="A49" s="215" t="s">
        <v>1359</v>
      </c>
      <c r="B49" s="215" t="s">
        <v>1360</v>
      </c>
      <c r="C49" s="216">
        <f t="shared" si="5"/>
        <v>507.342138</v>
      </c>
      <c r="D49" s="216">
        <f>SUMIFS('基本支出总表（开）'!G:G,'基本支出总表（开）'!B:B,B49)</f>
        <v>162.342138</v>
      </c>
      <c r="E49" s="216">
        <f>SUMIFS('项目支出总表（开）'!G:G,'项目支出总表（开）'!B:B,B49)</f>
        <v>345</v>
      </c>
      <c r="F49" s="216" t="e">
        <f t="shared" si="6"/>
        <v>#REF!</v>
      </c>
      <c r="G49" s="216" t="e">
        <f>SUMIFS('基本支出总表（开）'!#REF!,'基本支出总表（开）'!B:B,B49)</f>
        <v>#REF!</v>
      </c>
      <c r="H49" s="216" t="e">
        <f>SUMIFS('项目支出总表（开）'!#REF!,'项目支出总表（开）'!B:B,B49)+SUMIFS('项目支出总表（开）'!#REF!,'项目支出总表（开）'!B:B,B49)</f>
        <v>#REF!</v>
      </c>
      <c r="I49" s="225" t="e">
        <f t="shared" si="1"/>
        <v>#REF!</v>
      </c>
      <c r="J49" s="225" t="e">
        <f t="shared" si="2"/>
        <v>#REF!</v>
      </c>
      <c r="K49" s="225" t="e">
        <f t="shared" si="3"/>
        <v>#REF!</v>
      </c>
      <c r="O49" s="216">
        <f t="shared" si="7"/>
        <v>549.102138</v>
      </c>
      <c r="P49" s="216">
        <f>SUMIFS('基本支出总表（开）'!M:M,'基本支出总表（开）'!B:B,B49)</f>
        <v>207.102138</v>
      </c>
      <c r="Q49" s="216">
        <f>SUMIFS('项目支出总表（开）'!V:V,'项目支出总表（开）'!B:B,B49)</f>
        <v>342</v>
      </c>
    </row>
    <row r="50" s="4" customFormat="1" ht="21.75" customHeight="1" spans="1:17">
      <c r="A50" s="215" t="s">
        <v>1361</v>
      </c>
      <c r="B50" s="215" t="s">
        <v>1362</v>
      </c>
      <c r="C50" s="216">
        <f t="shared" si="5"/>
        <v>1232.387658</v>
      </c>
      <c r="D50" s="216">
        <f>SUMIFS('基本支出总表（开）'!G:G,'基本支出总表（开）'!B:B,B50)</f>
        <v>241.387658</v>
      </c>
      <c r="E50" s="216">
        <f>SUMIFS('项目支出总表（开）'!G:G,'项目支出总表（开）'!B:B,B50)</f>
        <v>991</v>
      </c>
      <c r="F50" s="216" t="e">
        <f t="shared" si="6"/>
        <v>#REF!</v>
      </c>
      <c r="G50" s="216" t="e">
        <f>SUMIFS('基本支出总表（开）'!#REF!,'基本支出总表（开）'!B:B,B50)</f>
        <v>#REF!</v>
      </c>
      <c r="H50" s="216" t="e">
        <f>SUMIFS('项目支出总表（开）'!#REF!,'项目支出总表（开）'!B:B,B50)+SUMIFS('项目支出总表（开）'!#REF!,'项目支出总表（开）'!B:B,B50)</f>
        <v>#REF!</v>
      </c>
      <c r="I50" s="225" t="e">
        <f t="shared" si="1"/>
        <v>#REF!</v>
      </c>
      <c r="J50" s="225" t="e">
        <f t="shared" si="2"/>
        <v>#REF!</v>
      </c>
      <c r="K50" s="225" t="e">
        <f t="shared" si="3"/>
        <v>#REF!</v>
      </c>
      <c r="O50" s="216">
        <f t="shared" si="7"/>
        <v>839.726835</v>
      </c>
      <c r="P50" s="216">
        <f>SUMIFS('基本支出总表（开）'!M:M,'基本支出总表（开）'!B:B,B50)</f>
        <v>243.407658</v>
      </c>
      <c r="Q50" s="216">
        <f>SUMIFS('项目支出总表（开）'!V:V,'项目支出总表（开）'!B:B,B50)</f>
        <v>596.319177</v>
      </c>
    </row>
    <row r="51" s="4" customFormat="1" ht="21.75" customHeight="1" spans="1:17">
      <c r="A51" s="215" t="s">
        <v>1363</v>
      </c>
      <c r="B51" s="215" t="s">
        <v>1364</v>
      </c>
      <c r="C51" s="216">
        <f t="shared" si="5"/>
        <v>2186.580647</v>
      </c>
      <c r="D51" s="216">
        <f>SUMIFS('基本支出总表（开）'!G:G,'基本支出总表（开）'!B:B,B51)</f>
        <v>1436.580647</v>
      </c>
      <c r="E51" s="216">
        <f>SUMIFS('项目支出总表（开）'!G:G,'项目支出总表（开）'!B:B,B51)</f>
        <v>750</v>
      </c>
      <c r="F51" s="216" t="e">
        <f t="shared" si="6"/>
        <v>#REF!</v>
      </c>
      <c r="G51" s="216" t="e">
        <f>SUMIFS('基本支出总表（开）'!#REF!,'基本支出总表（开）'!B:B,B51)</f>
        <v>#REF!</v>
      </c>
      <c r="H51" s="216" t="e">
        <f>SUMIFS('项目支出总表（开）'!#REF!,'项目支出总表（开）'!B:B,B51)+SUMIFS('项目支出总表（开）'!#REF!,'项目支出总表（开）'!B:B,B51)</f>
        <v>#REF!</v>
      </c>
      <c r="I51" s="225" t="e">
        <f t="shared" si="1"/>
        <v>#REF!</v>
      </c>
      <c r="J51" s="225" t="e">
        <f t="shared" si="2"/>
        <v>#REF!</v>
      </c>
      <c r="K51" s="225" t="e">
        <f t="shared" si="3"/>
        <v>#REF!</v>
      </c>
      <c r="O51" s="216">
        <f t="shared" si="7"/>
        <v>2322.371543</v>
      </c>
      <c r="P51" s="216">
        <f>SUMIFS('基本支出总表（开）'!M:M,'基本支出总表（开）'!B:B,B51)</f>
        <v>1436.580647</v>
      </c>
      <c r="Q51" s="216">
        <f>SUMIFS('项目支出总表（开）'!V:V,'项目支出总表（开）'!B:B,B51)</f>
        <v>885.790896</v>
      </c>
    </row>
    <row r="52" s="4" customFormat="1" ht="21.75" customHeight="1" spans="1:17">
      <c r="A52" s="215" t="s">
        <v>1365</v>
      </c>
      <c r="B52" s="215" t="s">
        <v>1366</v>
      </c>
      <c r="C52" s="216">
        <f t="shared" si="5"/>
        <v>833.936142</v>
      </c>
      <c r="D52" s="216">
        <f>SUMIFS('基本支出总表（开）'!G:G,'基本支出总表（开）'!B:B,B52)</f>
        <v>297.536142</v>
      </c>
      <c r="E52" s="216">
        <f>SUMIFS('项目支出总表（开）'!G:G,'项目支出总表（开）'!B:B,B52)</f>
        <v>536.4</v>
      </c>
      <c r="F52" s="216" t="e">
        <f t="shared" si="6"/>
        <v>#REF!</v>
      </c>
      <c r="G52" s="216" t="e">
        <f>SUMIFS('基本支出总表（开）'!#REF!,'基本支出总表（开）'!B:B,B52)</f>
        <v>#REF!</v>
      </c>
      <c r="H52" s="216" t="e">
        <f>SUMIFS('项目支出总表（开）'!#REF!,'项目支出总表（开）'!B:B,B52)+SUMIFS('项目支出总表（开）'!#REF!,'项目支出总表（开）'!B:B,B52)</f>
        <v>#REF!</v>
      </c>
      <c r="I52" s="225" t="e">
        <f t="shared" si="1"/>
        <v>#REF!</v>
      </c>
      <c r="J52" s="225" t="e">
        <f t="shared" si="2"/>
        <v>#REF!</v>
      </c>
      <c r="K52" s="225" t="e">
        <f t="shared" si="3"/>
        <v>#REF!</v>
      </c>
      <c r="O52" s="216">
        <f t="shared" si="7"/>
        <v>949.626142</v>
      </c>
      <c r="P52" s="216">
        <f>SUMIFS('基本支出总表（开）'!M:M,'基本支出总表（开）'!B:B,B52)</f>
        <v>297.536142</v>
      </c>
      <c r="Q52" s="216">
        <f>SUMIFS('项目支出总表（开）'!V:V,'项目支出总表（开）'!B:B,B52)</f>
        <v>652.09</v>
      </c>
    </row>
    <row r="53" s="4" customFormat="1" ht="21.75" customHeight="1" spans="1:17">
      <c r="A53" s="215" t="s">
        <v>1367</v>
      </c>
      <c r="B53" s="215" t="s">
        <v>1368</v>
      </c>
      <c r="C53" s="216">
        <f t="shared" si="5"/>
        <v>31716.7265</v>
      </c>
      <c r="D53" s="216">
        <f>SUMIFS('基本支出总表（开）'!G:G,'基本支出总表（开）'!B:B,B53)</f>
        <v>548.9265</v>
      </c>
      <c r="E53" s="216">
        <f>SUMIFS('项目支出总表（开）'!G:G,'项目支出总表（开）'!B:B,B53)</f>
        <v>31167.8</v>
      </c>
      <c r="F53" s="216" t="e">
        <f t="shared" si="6"/>
        <v>#REF!</v>
      </c>
      <c r="G53" s="216" t="e">
        <f>SUMIFS('基本支出总表（开）'!#REF!,'基本支出总表（开）'!B:B,B53)</f>
        <v>#REF!</v>
      </c>
      <c r="H53" s="216" t="e">
        <f>SUMIFS('项目支出总表（开）'!#REF!,'项目支出总表（开）'!B:B,B53)+SUMIFS('项目支出总表（开）'!#REF!,'项目支出总表（开）'!B:B,B53)</f>
        <v>#REF!</v>
      </c>
      <c r="I53" s="225" t="e">
        <f t="shared" si="1"/>
        <v>#REF!</v>
      </c>
      <c r="J53" s="225" t="e">
        <f t="shared" si="2"/>
        <v>#REF!</v>
      </c>
      <c r="K53" s="225" t="e">
        <f t="shared" si="3"/>
        <v>#REF!</v>
      </c>
      <c r="O53" s="216">
        <f t="shared" si="7"/>
        <v>56796.712575</v>
      </c>
      <c r="P53" s="216">
        <f>SUMIFS('基本支出总表（开）'!M:M,'基本支出总表（开）'!B:B,B53)</f>
        <v>548.9265</v>
      </c>
      <c r="Q53" s="216">
        <f>SUMIFS('项目支出总表（开）'!V:V,'项目支出总表（开）'!B:B,B53)</f>
        <v>56247.786075</v>
      </c>
    </row>
    <row r="54" s="4" customFormat="1" ht="21.75" customHeight="1" spans="1:17">
      <c r="A54" s="215" t="s">
        <v>1369</v>
      </c>
      <c r="B54" s="215" t="s">
        <v>1370</v>
      </c>
      <c r="C54" s="216">
        <f t="shared" si="5"/>
        <v>374.728198</v>
      </c>
      <c r="D54" s="216">
        <f>SUMIFS('基本支出总表（开）'!G:G,'基本支出总表（开）'!B:B,B54)</f>
        <v>374.728198</v>
      </c>
      <c r="E54" s="216">
        <f>SUMIFS('项目支出总表（开）'!G:G,'项目支出总表（开）'!B:B,B54)</f>
        <v>0</v>
      </c>
      <c r="F54" s="216" t="e">
        <f t="shared" si="6"/>
        <v>#REF!</v>
      </c>
      <c r="G54" s="216" t="e">
        <f>SUMIFS('基本支出总表（开）'!#REF!,'基本支出总表（开）'!B:B,B54)</f>
        <v>#REF!</v>
      </c>
      <c r="H54" s="228" t="e">
        <f>SUMIFS('项目支出总表（开）'!#REF!,'项目支出总表（开）'!B:B,B54)/2+SUMIFS('项目支出总表（开）'!#REF!,'项目支出总表（开）'!B:B,B54)/2</f>
        <v>#REF!</v>
      </c>
      <c r="I54" s="225" t="e">
        <f t="shared" si="1"/>
        <v>#REF!</v>
      </c>
      <c r="J54" s="225" t="e">
        <f t="shared" si="2"/>
        <v>#REF!</v>
      </c>
      <c r="K54" s="225" t="str">
        <f t="shared" si="3"/>
        <v/>
      </c>
      <c r="O54" s="216">
        <f t="shared" si="7"/>
        <v>78463.028198</v>
      </c>
      <c r="P54" s="216">
        <f>SUMIFS('基本支出总表（开）'!M:M,'基本支出总表（开）'!B:B,B54)</f>
        <v>374.728198</v>
      </c>
      <c r="Q54" s="228">
        <f>SUMIFS('项目支出总表（开）'!V:V,'项目支出总表（开）'!B:B,B54)/2</f>
        <v>78088.3</v>
      </c>
    </row>
    <row r="55" s="4" customFormat="1" ht="21.75" customHeight="1" spans="1:17">
      <c r="A55" s="215" t="s">
        <v>1371</v>
      </c>
      <c r="B55" s="215" t="s">
        <v>1372</v>
      </c>
      <c r="C55" s="216">
        <f t="shared" si="5"/>
        <v>5080.251889</v>
      </c>
      <c r="D55" s="216">
        <f>SUMIFS('基本支出总表（开）'!G:G,'基本支出总表（开）'!B:B,B55)</f>
        <v>227.001889</v>
      </c>
      <c r="E55" s="216">
        <f>SUMIFS('项目支出总表（开）'!G:G,'项目支出总表（开）'!B:B,B55)</f>
        <v>4853.25</v>
      </c>
      <c r="F55" s="216" t="e">
        <f t="shared" si="6"/>
        <v>#REF!</v>
      </c>
      <c r="G55" s="216" t="e">
        <f>SUMIFS('基本支出总表（开）'!#REF!,'基本支出总表（开）'!B:B,B55)</f>
        <v>#REF!</v>
      </c>
      <c r="H55" s="216" t="e">
        <f>SUMIFS('项目支出总表（开）'!#REF!,'项目支出总表（开）'!B:B,B55)+SUMIFS('项目支出总表（开）'!#REF!,'项目支出总表（开）'!B:B,B55)</f>
        <v>#REF!</v>
      </c>
      <c r="I55" s="225" t="e">
        <f t="shared" si="1"/>
        <v>#REF!</v>
      </c>
      <c r="J55" s="225" t="e">
        <f t="shared" si="2"/>
        <v>#REF!</v>
      </c>
      <c r="K55" s="225" t="e">
        <f t="shared" si="3"/>
        <v>#REF!</v>
      </c>
      <c r="O55" s="216">
        <f t="shared" si="7"/>
        <v>6960.401889</v>
      </c>
      <c r="P55" s="216">
        <f>SUMIFS('基本支出总表（开）'!M:M,'基本支出总表（开）'!B:B,B55)</f>
        <v>227.001889</v>
      </c>
      <c r="Q55" s="216">
        <f>SUMIFS('项目支出总表（开）'!V:V,'项目支出总表（开）'!B:B,B55)</f>
        <v>6733.4</v>
      </c>
    </row>
    <row r="56" s="4" customFormat="1" ht="21.75" customHeight="1" spans="1:17">
      <c r="A56" s="215" t="s">
        <v>1373</v>
      </c>
      <c r="B56" s="215" t="s">
        <v>1374</v>
      </c>
      <c r="C56" s="216">
        <f t="shared" si="5"/>
        <v>571.996375</v>
      </c>
      <c r="D56" s="216">
        <f>SUMIFS('基本支出总表（开）'!G:G,'基本支出总表（开）'!B:B,B56)</f>
        <v>210.396375</v>
      </c>
      <c r="E56" s="216">
        <f>SUMIFS('项目支出总表（开）'!G:G,'项目支出总表（开）'!B:B,B56)</f>
        <v>361.6</v>
      </c>
      <c r="F56" s="216" t="e">
        <f t="shared" si="6"/>
        <v>#REF!</v>
      </c>
      <c r="G56" s="216" t="e">
        <f>SUMIFS('基本支出总表（开）'!#REF!,'基本支出总表（开）'!B:B,B56)</f>
        <v>#REF!</v>
      </c>
      <c r="H56" s="216" t="e">
        <f>SUMIFS('项目支出总表（开）'!#REF!,'项目支出总表（开）'!B:B,B56)+SUMIFS('项目支出总表（开）'!#REF!,'项目支出总表（开）'!B:B,B56)</f>
        <v>#REF!</v>
      </c>
      <c r="I56" s="225" t="e">
        <f t="shared" si="1"/>
        <v>#REF!</v>
      </c>
      <c r="J56" s="225" t="e">
        <f t="shared" si="2"/>
        <v>#REF!</v>
      </c>
      <c r="K56" s="225" t="e">
        <f t="shared" si="3"/>
        <v>#REF!</v>
      </c>
      <c r="O56" s="216">
        <f t="shared" si="7"/>
        <v>776.896375</v>
      </c>
      <c r="P56" s="216">
        <f>SUMIFS('基本支出总表（开）'!M:M,'基本支出总表（开）'!B:B,B56)</f>
        <v>265.846375</v>
      </c>
      <c r="Q56" s="216">
        <f>SUMIFS('项目支出总表（开）'!V:V,'项目支出总表（开）'!B:B,B56)</f>
        <v>511.05</v>
      </c>
    </row>
    <row r="57" s="4" customFormat="1" ht="21.75" customHeight="1" spans="1:17">
      <c r="A57" s="215" t="s">
        <v>1375</v>
      </c>
      <c r="B57" s="215" t="s">
        <v>1376</v>
      </c>
      <c r="C57" s="216">
        <f t="shared" si="5"/>
        <v>598.228037</v>
      </c>
      <c r="D57" s="216">
        <f>SUMIFS('基本支出总表（开）'!G:G,'基本支出总表（开）'!B:B,B57)</f>
        <v>381.228037</v>
      </c>
      <c r="E57" s="216">
        <f>SUMIFS('项目支出总表（开）'!G:G,'项目支出总表（开）'!B:B,B57)</f>
        <v>217</v>
      </c>
      <c r="F57" s="216" t="e">
        <f t="shared" si="6"/>
        <v>#REF!</v>
      </c>
      <c r="G57" s="216" t="e">
        <f>SUMIFS('基本支出总表（开）'!#REF!,'基本支出总表（开）'!B:B,B57)</f>
        <v>#REF!</v>
      </c>
      <c r="H57" s="216" t="e">
        <f>SUMIFS('项目支出总表（开）'!#REF!,'项目支出总表（开）'!B:B,B57)+SUMIFS('项目支出总表（开）'!#REF!,'项目支出总表（开）'!B:B,B57)</f>
        <v>#REF!</v>
      </c>
      <c r="I57" s="225" t="e">
        <f t="shared" si="1"/>
        <v>#REF!</v>
      </c>
      <c r="J57" s="225" t="e">
        <f t="shared" si="2"/>
        <v>#REF!</v>
      </c>
      <c r="K57" s="225" t="e">
        <f t="shared" si="3"/>
        <v>#REF!</v>
      </c>
      <c r="O57" s="216">
        <f t="shared" si="7"/>
        <v>6025.42766</v>
      </c>
      <c r="P57" s="216">
        <f>SUMIFS('基本支出总表（开）'!M:M,'基本支出总表（开）'!B:B,B57)</f>
        <v>465.228037</v>
      </c>
      <c r="Q57" s="216">
        <f>SUMIFS('项目支出总表（开）'!V:V,'项目支出总表（开）'!B:B,B57)</f>
        <v>5560.199623</v>
      </c>
    </row>
    <row r="58" s="4" customFormat="1" ht="21.75" customHeight="1" spans="1:17">
      <c r="A58" s="215" t="s">
        <v>1377</v>
      </c>
      <c r="B58" s="215" t="s">
        <v>1378</v>
      </c>
      <c r="C58" s="216">
        <f t="shared" si="5"/>
        <v>1406.147716</v>
      </c>
      <c r="D58" s="216">
        <f>SUMIFS('基本支出总表（开）'!G:G,'基本支出总表（开）'!B:B,B58)</f>
        <v>896.147716</v>
      </c>
      <c r="E58" s="216">
        <f>SUMIFS('项目支出总表（开）'!G:G,'项目支出总表（开）'!B:B,B58)</f>
        <v>510</v>
      </c>
      <c r="F58" s="216" t="e">
        <f t="shared" si="6"/>
        <v>#REF!</v>
      </c>
      <c r="G58" s="216" t="e">
        <f>SUMIFS('基本支出总表（开）'!#REF!,'基本支出总表（开）'!B:B,B58)</f>
        <v>#REF!</v>
      </c>
      <c r="H58" s="216" t="e">
        <f>SUMIFS('项目支出总表（开）'!#REF!,'项目支出总表（开）'!B:B,B58)+SUMIFS('项目支出总表（开）'!#REF!,'项目支出总表（开）'!B:B,B58)</f>
        <v>#REF!</v>
      </c>
      <c r="I58" s="225" t="e">
        <f t="shared" si="1"/>
        <v>#REF!</v>
      </c>
      <c r="J58" s="225" t="e">
        <f t="shared" si="2"/>
        <v>#REF!</v>
      </c>
      <c r="K58" s="225" t="e">
        <f t="shared" si="3"/>
        <v>#REF!</v>
      </c>
      <c r="O58" s="216">
        <f t="shared" si="7"/>
        <v>6346.672656</v>
      </c>
      <c r="P58" s="216">
        <f>SUMIFS('基本支出总表（开）'!M:M,'基本支出总表（开）'!B:B,B58)</f>
        <v>896.147716</v>
      </c>
      <c r="Q58" s="216">
        <f>SUMIFS('项目支出总表（开）'!V:V,'项目支出总表（开）'!B:B,B58)</f>
        <v>5450.52494</v>
      </c>
    </row>
    <row r="59" s="4" customFormat="1" ht="21.75" customHeight="1" spans="1:17">
      <c r="A59" s="215" t="s">
        <v>1379</v>
      </c>
      <c r="B59" s="215" t="s">
        <v>1380</v>
      </c>
      <c r="C59" s="216">
        <f t="shared" si="5"/>
        <v>278.30688</v>
      </c>
      <c r="D59" s="216">
        <f>SUMIFS('基本支出总表（开）'!G:G,'基本支出总表（开）'!B:B,B59)</f>
        <v>270.30688</v>
      </c>
      <c r="E59" s="216">
        <f>SUMIFS('项目支出总表（开）'!G:G,'项目支出总表（开）'!B:B,B59)</f>
        <v>8</v>
      </c>
      <c r="F59" s="216" t="e">
        <f t="shared" si="6"/>
        <v>#REF!</v>
      </c>
      <c r="G59" s="216" t="e">
        <f>SUMIFS('基本支出总表（开）'!#REF!,'基本支出总表（开）'!B:B,B59)</f>
        <v>#REF!</v>
      </c>
      <c r="H59" s="216" t="e">
        <f>SUMIFS('项目支出总表（开）'!#REF!,'项目支出总表（开）'!B:B,B59)+SUMIFS('项目支出总表（开）'!#REF!,'项目支出总表（开）'!B:B,B59)</f>
        <v>#REF!</v>
      </c>
      <c r="I59" s="225" t="e">
        <f t="shared" si="1"/>
        <v>#REF!</v>
      </c>
      <c r="J59" s="225" t="e">
        <f t="shared" si="2"/>
        <v>#REF!</v>
      </c>
      <c r="K59" s="225" t="e">
        <f t="shared" si="3"/>
        <v>#REF!</v>
      </c>
      <c r="O59" s="216">
        <f t="shared" si="7"/>
        <v>279.60688</v>
      </c>
      <c r="P59" s="216">
        <f>SUMIFS('基本支出总表（开）'!M:M,'基本支出总表（开）'!B:B,B59)</f>
        <v>270.30688</v>
      </c>
      <c r="Q59" s="216">
        <f>SUMIFS('项目支出总表（开）'!V:V,'项目支出总表（开）'!B:B,B59)</f>
        <v>9.3</v>
      </c>
    </row>
    <row r="60" s="4" customFormat="1" ht="21.75" customHeight="1" spans="1:17">
      <c r="A60" s="215" t="s">
        <v>1381</v>
      </c>
      <c r="B60" s="215" t="s">
        <v>1382</v>
      </c>
      <c r="C60" s="216">
        <f t="shared" si="5"/>
        <v>2444.921668</v>
      </c>
      <c r="D60" s="216">
        <f>SUMIFS('基本支出总表（开）'!G:G,'基本支出总表（开）'!B:B,B60)</f>
        <v>1068.181668</v>
      </c>
      <c r="E60" s="216">
        <f>SUMIFS('项目支出总表（开）'!G:G,'项目支出总表（开）'!B:B,B60)</f>
        <v>1376.74</v>
      </c>
      <c r="F60" s="216" t="e">
        <f t="shared" si="6"/>
        <v>#REF!</v>
      </c>
      <c r="G60" s="216" t="e">
        <f>SUMIFS('基本支出总表（开）'!#REF!,'基本支出总表（开）'!B:B,B60)</f>
        <v>#REF!</v>
      </c>
      <c r="H60" s="216" t="e">
        <f>SUMIFS('项目支出总表（开）'!#REF!,'项目支出总表（开）'!B:B,B60)+SUMIFS('项目支出总表（开）'!#REF!,'项目支出总表（开）'!B:B,B60)</f>
        <v>#REF!</v>
      </c>
      <c r="I60" s="225" t="e">
        <f t="shared" si="1"/>
        <v>#REF!</v>
      </c>
      <c r="J60" s="225" t="e">
        <f t="shared" si="2"/>
        <v>#REF!</v>
      </c>
      <c r="K60" s="225" t="e">
        <f t="shared" si="3"/>
        <v>#REF!</v>
      </c>
      <c r="O60" s="216">
        <f t="shared" si="7"/>
        <v>3428.615048</v>
      </c>
      <c r="P60" s="216">
        <f>SUMIFS('基本支出总表（开）'!M:M,'基本支出总表（开）'!B:B,B60)</f>
        <v>1207.181668</v>
      </c>
      <c r="Q60" s="216">
        <f>SUMIFS('项目支出总表（开）'!V:V,'项目支出总表（开）'!B:B,B60)</f>
        <v>2221.43338</v>
      </c>
    </row>
    <row r="61" s="4" customFormat="1" ht="21.75" customHeight="1" spans="1:17">
      <c r="A61" s="215" t="s">
        <v>1383</v>
      </c>
      <c r="B61" s="215" t="s">
        <v>1384</v>
      </c>
      <c r="C61" s="216">
        <f t="shared" si="5"/>
        <v>205.466588</v>
      </c>
      <c r="D61" s="216">
        <f>SUMIFS('基本支出总表（开）'!G:G,'基本支出总表（开）'!B:B,B61)</f>
        <v>126.766588</v>
      </c>
      <c r="E61" s="216">
        <f>SUMIFS('项目支出总表（开）'!G:G,'项目支出总表（开）'!B:B,B61)</f>
        <v>78.7</v>
      </c>
      <c r="F61" s="216" t="e">
        <f t="shared" si="6"/>
        <v>#REF!</v>
      </c>
      <c r="G61" s="216" t="e">
        <f>SUMIFS('基本支出总表（开）'!#REF!,'基本支出总表（开）'!B:B,B61)</f>
        <v>#REF!</v>
      </c>
      <c r="H61" s="216" t="e">
        <f>SUMIFS('项目支出总表（开）'!#REF!,'项目支出总表（开）'!B:B,B61)+SUMIFS('项目支出总表（开）'!#REF!,'项目支出总表（开）'!B:B,B61)</f>
        <v>#REF!</v>
      </c>
      <c r="I61" s="225" t="e">
        <f t="shared" si="1"/>
        <v>#REF!</v>
      </c>
      <c r="J61" s="225" t="e">
        <f t="shared" si="2"/>
        <v>#REF!</v>
      </c>
      <c r="K61" s="225" t="e">
        <f t="shared" si="3"/>
        <v>#REF!</v>
      </c>
      <c r="O61" s="216">
        <f t="shared" si="7"/>
        <v>236.466588</v>
      </c>
      <c r="P61" s="216">
        <f>SUMIFS('基本支出总表（开）'!M:M,'基本支出总表（开）'!B:B,B61)</f>
        <v>126.766588</v>
      </c>
      <c r="Q61" s="216">
        <f>SUMIFS('项目支出总表（开）'!V:V,'项目支出总表（开）'!B:B,B61)</f>
        <v>109.7</v>
      </c>
    </row>
    <row r="62" s="4" customFormat="1" ht="21.75" customHeight="1" spans="1:17">
      <c r="A62" s="215" t="s">
        <v>1385</v>
      </c>
      <c r="B62" s="215" t="s">
        <v>1386</v>
      </c>
      <c r="C62" s="216">
        <f t="shared" si="5"/>
        <v>2797.687529</v>
      </c>
      <c r="D62" s="216">
        <f>SUMIFS('基本支出总表（开）'!G:G,'基本支出总表（开）'!B:B,B62)</f>
        <v>604.567529</v>
      </c>
      <c r="E62" s="216">
        <f>SUMIFS('项目支出总表（开）'!G:G,'项目支出总表（开）'!B:B,B62)</f>
        <v>2193.12</v>
      </c>
      <c r="F62" s="216" t="e">
        <f t="shared" si="6"/>
        <v>#REF!</v>
      </c>
      <c r="G62" s="216" t="e">
        <f>SUMIFS('基本支出总表（开）'!#REF!,'基本支出总表（开）'!B:B,B62)</f>
        <v>#REF!</v>
      </c>
      <c r="H62" s="216" t="e">
        <f>SUMIFS('项目支出总表（开）'!#REF!,'项目支出总表（开）'!B:B,B62)+SUMIFS('项目支出总表（开）'!#REF!,'项目支出总表（开）'!B:B,B62)</f>
        <v>#REF!</v>
      </c>
      <c r="I62" s="225" t="e">
        <f t="shared" si="1"/>
        <v>#REF!</v>
      </c>
      <c r="J62" s="225" t="e">
        <f t="shared" si="2"/>
        <v>#REF!</v>
      </c>
      <c r="K62" s="225" t="e">
        <f t="shared" si="3"/>
        <v>#REF!</v>
      </c>
      <c r="O62" s="216">
        <f t="shared" si="7"/>
        <v>3070.524137</v>
      </c>
      <c r="P62" s="216">
        <f>SUMIFS('基本支出总表（开）'!M:M,'基本支出总表（开）'!B:B,B62)</f>
        <v>671.567529</v>
      </c>
      <c r="Q62" s="216">
        <f>SUMIFS('项目支出总表（开）'!V:V,'项目支出总表（开）'!B:B,B62)</f>
        <v>2398.956608</v>
      </c>
    </row>
    <row r="63" s="4" customFormat="1" ht="21.75" customHeight="1" spans="1:17">
      <c r="A63" s="215" t="s">
        <v>1387</v>
      </c>
      <c r="B63" s="215" t="s">
        <v>1388</v>
      </c>
      <c r="C63" s="216">
        <f t="shared" si="5"/>
        <v>3641.238439</v>
      </c>
      <c r="D63" s="216">
        <f>SUMIFS('基本支出总表（开）'!G:G,'基本支出总表（开）'!B:B,B63)</f>
        <v>1138.868439</v>
      </c>
      <c r="E63" s="216">
        <f>SUMIFS('项目支出总表（开）'!G:G,'项目支出总表（开）'!B:B,B63)</f>
        <v>2502.37</v>
      </c>
      <c r="F63" s="216" t="e">
        <f t="shared" si="6"/>
        <v>#REF!</v>
      </c>
      <c r="G63" s="216" t="e">
        <f>SUMIFS('基本支出总表（开）'!#REF!,'基本支出总表（开）'!B:B,B63)</f>
        <v>#REF!</v>
      </c>
      <c r="H63" s="216" t="e">
        <f>SUMIFS('项目支出总表（开）'!#REF!,'项目支出总表（开）'!B:B,B63)+SUMIFS('项目支出总表（开）'!#REF!,'项目支出总表（开）'!B:B,B63)</f>
        <v>#REF!</v>
      </c>
      <c r="I63" s="225" t="e">
        <f t="shared" si="1"/>
        <v>#REF!</v>
      </c>
      <c r="J63" s="225" t="e">
        <f t="shared" si="2"/>
        <v>#REF!</v>
      </c>
      <c r="K63" s="225" t="e">
        <f t="shared" si="3"/>
        <v>#REF!</v>
      </c>
      <c r="O63" s="216">
        <f t="shared" si="7"/>
        <v>4033.109947</v>
      </c>
      <c r="P63" s="216">
        <f>SUMIFS('基本支出总表（开）'!M:M,'基本支出总表（开）'!B:B,B63)</f>
        <v>1263.708439</v>
      </c>
      <c r="Q63" s="216">
        <f>SUMIFS('项目支出总表（开）'!V:V,'项目支出总表（开）'!B:B,B63)</f>
        <v>2769.401508</v>
      </c>
    </row>
    <row r="64" s="4" customFormat="1" ht="21.75" customHeight="1" spans="1:17">
      <c r="A64" s="215" t="s">
        <v>1389</v>
      </c>
      <c r="B64" s="215" t="s">
        <v>1390</v>
      </c>
      <c r="C64" s="216">
        <f t="shared" si="5"/>
        <v>265.405942</v>
      </c>
      <c r="D64" s="216">
        <f>SUMIFS('基本支出总表（开）'!G:G,'基本支出总表（开）'!B:B,B64)</f>
        <v>190.905942</v>
      </c>
      <c r="E64" s="216">
        <f>SUMIFS('项目支出总表（开）'!G:G,'项目支出总表（开）'!B:B,B64)</f>
        <v>74.5</v>
      </c>
      <c r="F64" s="216" t="e">
        <f t="shared" si="6"/>
        <v>#REF!</v>
      </c>
      <c r="G64" s="216" t="e">
        <f>SUMIFS('基本支出总表（开）'!#REF!,'基本支出总表（开）'!B:B,B64)</f>
        <v>#REF!</v>
      </c>
      <c r="H64" s="216" t="e">
        <f>SUMIFS('项目支出总表（开）'!#REF!,'项目支出总表（开）'!B:B,B64)+SUMIFS('项目支出总表（开）'!#REF!,'项目支出总表（开）'!B:B,B64)</f>
        <v>#REF!</v>
      </c>
      <c r="I64" s="225" t="e">
        <f t="shared" si="1"/>
        <v>#REF!</v>
      </c>
      <c r="J64" s="225" t="e">
        <f t="shared" si="2"/>
        <v>#REF!</v>
      </c>
      <c r="K64" s="225" t="e">
        <f t="shared" si="3"/>
        <v>#REF!</v>
      </c>
      <c r="O64" s="216">
        <f t="shared" si="7"/>
        <v>354.905942</v>
      </c>
      <c r="P64" s="216">
        <f>SUMIFS('基本支出总表（开）'!M:M,'基本支出总表（开）'!B:B,B64)</f>
        <v>230.905942</v>
      </c>
      <c r="Q64" s="216">
        <f>SUMIFS('项目支出总表（开）'!V:V,'项目支出总表（开）'!B:B,B64)</f>
        <v>124</v>
      </c>
    </row>
    <row r="65" s="4" customFormat="1" ht="21.75" customHeight="1" spans="1:17">
      <c r="A65" s="215" t="s">
        <v>1391</v>
      </c>
      <c r="B65" s="215" t="s">
        <v>1392</v>
      </c>
      <c r="C65" s="216">
        <f t="shared" si="5"/>
        <v>2298.59892</v>
      </c>
      <c r="D65" s="216">
        <f>SUMIFS('基本支出总表（开）'!G:G,'基本支出总表（开）'!B:B,B65)</f>
        <v>918.63892</v>
      </c>
      <c r="E65" s="216">
        <f>SUMIFS('项目支出总表（开）'!G:G,'项目支出总表（开）'!B:B,B65)</f>
        <v>1379.96</v>
      </c>
      <c r="F65" s="216" t="e">
        <f t="shared" si="6"/>
        <v>#REF!</v>
      </c>
      <c r="G65" s="216" t="e">
        <f>SUMIFS('基本支出总表（开）'!#REF!,'基本支出总表（开）'!B:B,B65)</f>
        <v>#REF!</v>
      </c>
      <c r="H65" s="216" t="e">
        <f>SUMIFS('项目支出总表（开）'!#REF!,'项目支出总表（开）'!B:B,B65)+SUMIFS('项目支出总表（开）'!#REF!,'项目支出总表（开）'!B:B,B65)</f>
        <v>#REF!</v>
      </c>
      <c r="I65" s="225" t="e">
        <f t="shared" si="1"/>
        <v>#REF!</v>
      </c>
      <c r="J65" s="225" t="e">
        <f t="shared" si="2"/>
        <v>#REF!</v>
      </c>
      <c r="K65" s="225" t="e">
        <f t="shared" si="3"/>
        <v>#REF!</v>
      </c>
      <c r="O65" s="216">
        <f t="shared" si="7"/>
        <v>3335.557964</v>
      </c>
      <c r="P65" s="216">
        <f>SUMIFS('基本支出总表（开）'!M:M,'基本支出总表（开）'!B:B,B65)</f>
        <v>948.63892</v>
      </c>
      <c r="Q65" s="216">
        <f>SUMIFS('项目支出总表（开）'!V:V,'项目支出总表（开）'!B:B,B65)</f>
        <v>2386.919044</v>
      </c>
    </row>
    <row r="66" s="4" customFormat="1" ht="21.75" customHeight="1" spans="1:17">
      <c r="A66" s="215" t="s">
        <v>1393</v>
      </c>
      <c r="B66" s="215" t="s">
        <v>1394</v>
      </c>
      <c r="C66" s="216">
        <f t="shared" si="5"/>
        <v>343.669443</v>
      </c>
      <c r="D66" s="216">
        <f>SUMIFS('基本支出总表（开）'!G:G,'基本支出总表（开）'!B:B,B66)</f>
        <v>298.669443</v>
      </c>
      <c r="E66" s="216">
        <f>SUMIFS('项目支出总表（开）'!G:G,'项目支出总表（开）'!B:B,B66)</f>
        <v>45</v>
      </c>
      <c r="F66" s="216" t="e">
        <f t="shared" si="6"/>
        <v>#REF!</v>
      </c>
      <c r="G66" s="216" t="e">
        <f>SUMIFS('基本支出总表（开）'!#REF!,'基本支出总表（开）'!B:B,B66)</f>
        <v>#REF!</v>
      </c>
      <c r="H66" s="216" t="e">
        <f>SUMIFS('项目支出总表（开）'!#REF!,'项目支出总表（开）'!B:B,B66)+SUMIFS('项目支出总表（开）'!#REF!,'项目支出总表（开）'!B:B,B66)</f>
        <v>#REF!</v>
      </c>
      <c r="I66" s="225" t="e">
        <f t="shared" si="1"/>
        <v>#REF!</v>
      </c>
      <c r="J66" s="225" t="e">
        <f t="shared" si="2"/>
        <v>#REF!</v>
      </c>
      <c r="K66" s="225" t="e">
        <f t="shared" si="3"/>
        <v>#REF!</v>
      </c>
      <c r="O66" s="216">
        <f t="shared" si="7"/>
        <v>432.669443</v>
      </c>
      <c r="P66" s="216">
        <f>SUMIFS('基本支出总表（开）'!M:M,'基本支出总表（开）'!B:B,B66)</f>
        <v>328.669443</v>
      </c>
      <c r="Q66" s="216">
        <f>SUMIFS('项目支出总表（开）'!V:V,'项目支出总表（开）'!B:B,B66)</f>
        <v>104</v>
      </c>
    </row>
    <row r="67" s="4" customFormat="1" ht="21.75" customHeight="1" spans="1:17">
      <c r="A67" s="215" t="s">
        <v>1395</v>
      </c>
      <c r="B67" s="215" t="s">
        <v>1396</v>
      </c>
      <c r="C67" s="216">
        <f t="shared" si="5"/>
        <v>1085.261582</v>
      </c>
      <c r="D67" s="216">
        <f>SUMIFS('基本支出总表（开）'!G:G,'基本支出总表（开）'!B:B,B67)</f>
        <v>525.261582</v>
      </c>
      <c r="E67" s="216">
        <f>SUMIFS('项目支出总表（开）'!G:G,'项目支出总表（开）'!B:B,B67)</f>
        <v>560</v>
      </c>
      <c r="F67" s="216" t="e">
        <f t="shared" si="6"/>
        <v>#REF!</v>
      </c>
      <c r="G67" s="216" t="e">
        <f>SUMIFS('基本支出总表（开）'!#REF!,'基本支出总表（开）'!B:B,B67)</f>
        <v>#REF!</v>
      </c>
      <c r="H67" s="216" t="e">
        <f>SUMIFS('项目支出总表（开）'!#REF!,'项目支出总表（开）'!B:B,B67)+SUMIFS('项目支出总表（开）'!#REF!,'项目支出总表（开）'!B:B,B67)</f>
        <v>#REF!</v>
      </c>
      <c r="I67" s="225" t="e">
        <f t="shared" si="1"/>
        <v>#REF!</v>
      </c>
      <c r="J67" s="225" t="e">
        <f t="shared" si="2"/>
        <v>#REF!</v>
      </c>
      <c r="K67" s="225" t="e">
        <f t="shared" si="3"/>
        <v>#REF!</v>
      </c>
      <c r="O67" s="216">
        <f t="shared" si="7"/>
        <v>1321.791582</v>
      </c>
      <c r="P67" s="216">
        <f>SUMIFS('基本支出总表（开）'!M:M,'基本支出总表（开）'!B:B,B67)</f>
        <v>668.261582</v>
      </c>
      <c r="Q67" s="216">
        <f>SUMIFS('项目支出总表（开）'!V:V,'项目支出总表（开）'!B:B,B67)</f>
        <v>653.53</v>
      </c>
    </row>
    <row r="68" s="4" customFormat="1" ht="21.75" customHeight="1" spans="1:17">
      <c r="A68" s="215" t="s">
        <v>1397</v>
      </c>
      <c r="B68" s="215" t="s">
        <v>1398</v>
      </c>
      <c r="C68" s="216">
        <f t="shared" si="5"/>
        <v>734</v>
      </c>
      <c r="D68" s="216">
        <f>SUMIFS('基本支出总表（开）'!G:G,'基本支出总表（开）'!B:B,B68)</f>
        <v>0</v>
      </c>
      <c r="E68" s="216">
        <f>SUMIFS('项目支出总表（开）'!G:G,'项目支出总表（开）'!B:B,B68)</f>
        <v>734</v>
      </c>
      <c r="F68" s="216" t="e">
        <f t="shared" si="6"/>
        <v>#REF!</v>
      </c>
      <c r="G68" s="216" t="e">
        <f>SUMIFS('基本支出总表（开）'!#REF!,'基本支出总表（开）'!B:B,B68)</f>
        <v>#REF!</v>
      </c>
      <c r="H68" s="216" t="e">
        <f>SUMIFS('项目支出总表（开）'!#REF!,'项目支出总表（开）'!B:B,B68)+SUMIFS('项目支出总表（开）'!#REF!,'项目支出总表（开）'!B:B,B68)</f>
        <v>#REF!</v>
      </c>
      <c r="I68" s="225" t="e">
        <f t="shared" si="1"/>
        <v>#REF!</v>
      </c>
      <c r="J68" s="225" t="str">
        <f t="shared" si="2"/>
        <v/>
      </c>
      <c r="K68" s="225" t="e">
        <f t="shared" si="3"/>
        <v>#REF!</v>
      </c>
      <c r="O68" s="216">
        <f t="shared" si="7"/>
        <v>812</v>
      </c>
      <c r="P68" s="216">
        <f>SUMIFS('基本支出总表（开）'!M:M,'基本支出总表（开）'!B:B,B68)</f>
        <v>0</v>
      </c>
      <c r="Q68" s="216">
        <f>SUMIFS('项目支出总表（开）'!V:V,'项目支出总表（开）'!B:B,B68)</f>
        <v>812</v>
      </c>
    </row>
    <row r="69" s="4" customFormat="1" ht="21.75" customHeight="1" spans="1:17">
      <c r="A69" s="215" t="s">
        <v>1399</v>
      </c>
      <c r="B69" s="215" t="s">
        <v>1400</v>
      </c>
      <c r="C69" s="216">
        <f t="shared" si="5"/>
        <v>100</v>
      </c>
      <c r="D69" s="216">
        <f>SUMIFS('基本支出总表（开）'!G:G,'基本支出总表（开）'!B:B,B69)</f>
        <v>0</v>
      </c>
      <c r="E69" s="216">
        <f>SUMIFS('项目支出总表（开）'!G:G,'项目支出总表（开）'!B:B,B69)</f>
        <v>100</v>
      </c>
      <c r="F69" s="216" t="e">
        <f t="shared" si="6"/>
        <v>#REF!</v>
      </c>
      <c r="G69" s="216" t="e">
        <f>SUMIFS('基本支出总表（开）'!#REF!,'基本支出总表（开）'!B:B,B69)</f>
        <v>#REF!</v>
      </c>
      <c r="H69" s="216" t="e">
        <f>SUMIFS('项目支出总表（开）'!#REF!,'项目支出总表（开）'!B:B,B69)+SUMIFS('项目支出总表（开）'!#REF!,'项目支出总表（开）'!B:B,B69)</f>
        <v>#REF!</v>
      </c>
      <c r="I69" s="225" t="e">
        <f t="shared" si="1"/>
        <v>#REF!</v>
      </c>
      <c r="J69" s="225" t="str">
        <f t="shared" si="2"/>
        <v/>
      </c>
      <c r="K69" s="225" t="e">
        <f t="shared" si="3"/>
        <v>#REF!</v>
      </c>
      <c r="O69" s="216">
        <f t="shared" si="7"/>
        <v>100</v>
      </c>
      <c r="P69" s="216">
        <f>SUMIFS('基本支出总表（开）'!M:M,'基本支出总表（开）'!B:B,B69)</f>
        <v>0</v>
      </c>
      <c r="Q69" s="216">
        <f>SUMIFS('项目支出总表（开）'!V:V,'项目支出总表（开）'!B:B,B69)</f>
        <v>100</v>
      </c>
    </row>
    <row r="70" s="4" customFormat="1" ht="21.75" customHeight="1" spans="1:17">
      <c r="A70" s="215" t="s">
        <v>1401</v>
      </c>
      <c r="B70" s="215" t="s">
        <v>1402</v>
      </c>
      <c r="C70" s="216">
        <f t="shared" si="5"/>
        <v>1500</v>
      </c>
      <c r="D70" s="216">
        <f>SUMIFS('基本支出总表（开）'!G:G,'基本支出总表（开）'!B:B,B70)</f>
        <v>0</v>
      </c>
      <c r="E70" s="216">
        <f>SUMIFS('项目支出总表（开）'!G:G,'项目支出总表（开）'!B:B,B70)</f>
        <v>1500</v>
      </c>
      <c r="F70" s="216" t="e">
        <f t="shared" si="6"/>
        <v>#REF!</v>
      </c>
      <c r="G70" s="216" t="e">
        <f>SUMIFS('基本支出总表（开）'!#REF!,'基本支出总表（开）'!B:B,B70)</f>
        <v>#REF!</v>
      </c>
      <c r="H70" s="216" t="e">
        <f>SUMIFS('项目支出总表（开）'!#REF!,'项目支出总表（开）'!B:B,B70)+SUMIFS('项目支出总表（开）'!#REF!,'项目支出总表（开）'!B:B,B70)</f>
        <v>#REF!</v>
      </c>
      <c r="I70" s="225" t="e">
        <f t="shared" ref="I70:I76" si="8">IF(C70=0,"",F70/C70)</f>
        <v>#REF!</v>
      </c>
      <c r="J70" s="225" t="str">
        <f t="shared" ref="J70:J76" si="9">IF(D70=0,"",G70/D70)</f>
        <v/>
      </c>
      <c r="K70" s="225" t="e">
        <f t="shared" ref="K70:K76" si="10">IF(E70=0,"",H70/E70)</f>
        <v>#REF!</v>
      </c>
      <c r="O70" s="216">
        <f t="shared" si="7"/>
        <v>1200</v>
      </c>
      <c r="P70" s="216">
        <f>SUMIFS('基本支出总表（开）'!M:M,'基本支出总表（开）'!B:B,B70)</f>
        <v>0</v>
      </c>
      <c r="Q70" s="216">
        <f>SUMIFS('项目支出总表（开）'!V:V,'项目支出总表（开）'!B:B,B70)</f>
        <v>1200</v>
      </c>
    </row>
    <row r="71" s="4" customFormat="1" ht="21.75" customHeight="1" spans="1:17">
      <c r="A71" s="215">
        <v>699002</v>
      </c>
      <c r="B71" s="215" t="s">
        <v>1403</v>
      </c>
      <c r="C71" s="216">
        <f t="shared" ref="C71:C76" si="11">SUM(D71:E71)</f>
        <v>470</v>
      </c>
      <c r="D71" s="216">
        <f>SUMIFS('基本支出总表（开）'!G:G,'基本支出总表（开）'!B:B,B71)</f>
        <v>0</v>
      </c>
      <c r="E71" s="216">
        <f>SUMIFS('项目支出总表（开）'!G:G,'项目支出总表（开）'!B:B,B71)</f>
        <v>470</v>
      </c>
      <c r="F71" s="216" t="e">
        <f t="shared" ref="F71:F76" si="12">SUM(G71:H71)</f>
        <v>#REF!</v>
      </c>
      <c r="G71" s="216" t="e">
        <f>SUMIFS('基本支出总表（开）'!#REF!,'基本支出总表（开）'!B:B,B71)</f>
        <v>#REF!</v>
      </c>
      <c r="H71" s="216" t="e">
        <f>SUMIFS('项目支出总表（开）'!#REF!,'项目支出总表（开）'!B:B,B71)+SUMIFS('项目支出总表（开）'!#REF!,'项目支出总表（开）'!B:B,B71)</f>
        <v>#REF!</v>
      </c>
      <c r="I71" s="225" t="e">
        <f t="shared" si="8"/>
        <v>#REF!</v>
      </c>
      <c r="J71" s="225" t="str">
        <f t="shared" si="9"/>
        <v/>
      </c>
      <c r="K71" s="225" t="e">
        <f t="shared" si="10"/>
        <v>#REF!</v>
      </c>
      <c r="O71" s="216">
        <f t="shared" ref="O71:O76" si="13">SUM(P71:Q71)</f>
        <v>289.943</v>
      </c>
      <c r="P71" s="216">
        <f>SUMIFS('基本支出总表（开）'!M:M,'基本支出总表（开）'!B:B,B71)</f>
        <v>0</v>
      </c>
      <c r="Q71" s="216">
        <f>SUMIFS('项目支出总表（开）'!V:V,'项目支出总表（开）'!B:B,B71)</f>
        <v>289.943</v>
      </c>
    </row>
    <row r="72" s="4" customFormat="1" ht="21.75" customHeight="1" spans="1:17">
      <c r="A72" s="215">
        <v>699003</v>
      </c>
      <c r="B72" s="215" t="s">
        <v>1404</v>
      </c>
      <c r="C72" s="216">
        <f t="shared" si="11"/>
        <v>0</v>
      </c>
      <c r="D72" s="216">
        <f>SUMIFS('基本支出总表（开）'!G:G,'基本支出总表（开）'!B:B,B72)</f>
        <v>0</v>
      </c>
      <c r="E72" s="216">
        <f>SUMIFS('项目支出总表（开）'!G:G,'项目支出总表（开）'!B:B,B72)</f>
        <v>0</v>
      </c>
      <c r="F72" s="216" t="e">
        <f t="shared" si="12"/>
        <v>#REF!</v>
      </c>
      <c r="G72" s="216" t="e">
        <f>SUMIFS('基本支出总表（开）'!#REF!,'基本支出总表（开）'!B:B,B72)</f>
        <v>#REF!</v>
      </c>
      <c r="H72" s="216" t="e">
        <f>SUMIFS('项目支出总表（开）'!#REF!,'项目支出总表（开）'!B:B,B72)+SUMIFS('项目支出总表（开）'!#REF!,'项目支出总表（开）'!B:B,B72)</f>
        <v>#REF!</v>
      </c>
      <c r="I72" s="225" t="str">
        <f t="shared" si="8"/>
        <v/>
      </c>
      <c r="J72" s="225" t="str">
        <f t="shared" si="9"/>
        <v/>
      </c>
      <c r="K72" s="225" t="str">
        <f t="shared" si="10"/>
        <v/>
      </c>
      <c r="O72" s="216">
        <f t="shared" si="13"/>
        <v>1257</v>
      </c>
      <c r="P72" s="216">
        <f>SUMIFS('基本支出总表（开）'!M:M,'基本支出总表（开）'!B:B,B72)</f>
        <v>0</v>
      </c>
      <c r="Q72" s="216">
        <f>SUMIFS('项目支出总表（开）'!V:V,'项目支出总表（开）'!B:B,B72)</f>
        <v>1257</v>
      </c>
    </row>
    <row r="73" s="4" customFormat="1" ht="21.75" customHeight="1" spans="1:17">
      <c r="A73" s="215">
        <v>699005</v>
      </c>
      <c r="B73" s="215" t="s">
        <v>1405</v>
      </c>
      <c r="C73" s="216">
        <f t="shared" si="11"/>
        <v>0</v>
      </c>
      <c r="D73" s="216">
        <f>SUMIFS('基本支出总表（开）'!G:G,'基本支出总表（开）'!B:B,B73)</f>
        <v>0</v>
      </c>
      <c r="E73" s="216">
        <f>SUMIFS('项目支出总表（开）'!G:G,'项目支出总表（开）'!B:B,B73)</f>
        <v>0</v>
      </c>
      <c r="F73" s="216" t="e">
        <f t="shared" si="12"/>
        <v>#REF!</v>
      </c>
      <c r="G73" s="216" t="e">
        <f>SUMIFS('基本支出总表（开）'!#REF!,'基本支出总表（开）'!B:B,B73)</f>
        <v>#REF!</v>
      </c>
      <c r="H73" s="216" t="e">
        <f>SUMIFS('项目支出总表（开）'!#REF!,'项目支出总表（开）'!B:B,B73)+SUMIFS('项目支出总表（开）'!#REF!,'项目支出总表（开）'!B:B,B73)</f>
        <v>#REF!</v>
      </c>
      <c r="I73" s="225" t="str">
        <f t="shared" si="8"/>
        <v/>
      </c>
      <c r="J73" s="225" t="str">
        <f t="shared" si="9"/>
        <v/>
      </c>
      <c r="K73" s="225" t="str">
        <f t="shared" si="10"/>
        <v/>
      </c>
      <c r="O73" s="216">
        <f t="shared" si="13"/>
        <v>6703.6</v>
      </c>
      <c r="P73" s="216">
        <f>SUMIFS('基本支出总表（开）'!M:M,'基本支出总表（开）'!B:B,B73)</f>
        <v>0</v>
      </c>
      <c r="Q73" s="216">
        <f>SUMIFS('项目支出总表（开）'!V:V,'项目支出总表（开）'!B:B,B73)</f>
        <v>6703.6</v>
      </c>
    </row>
    <row r="74" s="4" customFormat="1" ht="21.75" customHeight="1" spans="1:17">
      <c r="A74" s="215" t="s">
        <v>1406</v>
      </c>
      <c r="B74" s="215" t="s">
        <v>1407</v>
      </c>
      <c r="C74" s="216">
        <f t="shared" si="11"/>
        <v>13020</v>
      </c>
      <c r="D74" s="216">
        <f>SUMIFS('基本支出总表（开）'!G:G,'基本支出总表（开）'!B:B,B74)</f>
        <v>0</v>
      </c>
      <c r="E74" s="216">
        <f>SUMIFS('项目支出总表（开）'!G:G,'项目支出总表（开）'!B:B,B74)</f>
        <v>13020</v>
      </c>
      <c r="F74" s="216" t="e">
        <f t="shared" si="12"/>
        <v>#REF!</v>
      </c>
      <c r="G74" s="216" t="e">
        <f>SUMIFS('基本支出总表（开）'!#REF!,'基本支出总表（开）'!B:B,B74)</f>
        <v>#REF!</v>
      </c>
      <c r="H74" s="216" t="e">
        <f>SUMIFS('项目支出总表（开）'!#REF!,'项目支出总表（开）'!B:B,B74)+SUMIFS('项目支出总表（开）'!#REF!,'项目支出总表（开）'!B:B,B74)</f>
        <v>#REF!</v>
      </c>
      <c r="I74" s="225" t="e">
        <f t="shared" si="8"/>
        <v>#REF!</v>
      </c>
      <c r="J74" s="225" t="str">
        <f t="shared" si="9"/>
        <v/>
      </c>
      <c r="K74" s="225" t="e">
        <f t="shared" si="10"/>
        <v>#REF!</v>
      </c>
      <c r="O74" s="216">
        <f t="shared" si="13"/>
        <v>1760</v>
      </c>
      <c r="P74" s="216">
        <f>SUMIFS('基本支出总表（开）'!M:M,'基本支出总表（开）'!B:B,B74)</f>
        <v>0</v>
      </c>
      <c r="Q74" s="216">
        <f>SUMIFS('项目支出总表（开）'!V:V,'项目支出总表（开）'!B:B,B74)</f>
        <v>1760</v>
      </c>
    </row>
    <row r="75" s="4" customFormat="1" ht="21.75" customHeight="1" spans="1:17">
      <c r="A75" s="215" t="s">
        <v>1408</v>
      </c>
      <c r="B75" s="215" t="s">
        <v>1409</v>
      </c>
      <c r="C75" s="216">
        <f t="shared" si="11"/>
        <v>24444</v>
      </c>
      <c r="D75" s="216">
        <f>SUMIFS('基本支出总表（开）'!G:G,'基本支出总表（开）'!B:B,B75)</f>
        <v>0</v>
      </c>
      <c r="E75" s="216">
        <f>SUMIFS('项目支出总表（开）'!G:G,'项目支出总表（开）'!B:B,B75)</f>
        <v>24444</v>
      </c>
      <c r="F75" s="216" t="e">
        <f t="shared" si="12"/>
        <v>#REF!</v>
      </c>
      <c r="G75" s="216" t="e">
        <f>SUMIFS('基本支出总表（开）'!#REF!,'基本支出总表（开）'!B:B,B75)</f>
        <v>#REF!</v>
      </c>
      <c r="H75" s="216" t="e">
        <f>SUMIFS('项目支出总表（开）'!#REF!,'项目支出总表（开）'!B:B,B75)+SUMIFS('项目支出总表（开）'!#REF!,'项目支出总表（开）'!B:B,B75)</f>
        <v>#REF!</v>
      </c>
      <c r="I75" s="225" t="e">
        <f t="shared" si="8"/>
        <v>#REF!</v>
      </c>
      <c r="J75" s="225" t="str">
        <f t="shared" si="9"/>
        <v/>
      </c>
      <c r="K75" s="225" t="e">
        <f t="shared" si="10"/>
        <v>#REF!</v>
      </c>
      <c r="O75" s="216">
        <f t="shared" si="13"/>
        <v>24874</v>
      </c>
      <c r="P75" s="216">
        <f>SUMIFS('基本支出总表（开）'!M:M,'基本支出总表（开）'!B:B,B75)</f>
        <v>0</v>
      </c>
      <c r="Q75" s="216">
        <f>SUMIFS('项目支出总表（开）'!V:V,'项目支出总表（开）'!B:B,B75)</f>
        <v>24874</v>
      </c>
    </row>
    <row r="76" s="4" customFormat="1" ht="21.75" customHeight="1" spans="1:17">
      <c r="A76" s="215" t="s">
        <v>1410</v>
      </c>
      <c r="B76" s="215" t="s">
        <v>1411</v>
      </c>
      <c r="C76" s="216">
        <f t="shared" si="11"/>
        <v>1702</v>
      </c>
      <c r="D76" s="216">
        <f>SUMIFS('基本支出总表（开）'!G:G,'基本支出总表（开）'!B:B,B76)</f>
        <v>0</v>
      </c>
      <c r="E76" s="216">
        <f>SUMIFS('项目支出总表（开）'!G:G,'项目支出总表（开）'!B:B,B76)</f>
        <v>1702</v>
      </c>
      <c r="F76" s="216" t="e">
        <f t="shared" si="12"/>
        <v>#REF!</v>
      </c>
      <c r="G76" s="216" t="e">
        <f>SUMIFS('基本支出总表（开）'!#REF!,'基本支出总表（开）'!B:B,B76)</f>
        <v>#REF!</v>
      </c>
      <c r="H76" s="216" t="e">
        <f>SUMIFS('项目支出总表（开）'!#REF!,'项目支出总表（开）'!B:B,B76)+SUMIFS('项目支出总表（开）'!#REF!,'项目支出总表（开）'!B:B,B76)</f>
        <v>#REF!</v>
      </c>
      <c r="I76" s="225" t="e">
        <f t="shared" si="8"/>
        <v>#REF!</v>
      </c>
      <c r="J76" s="225" t="str">
        <f t="shared" si="9"/>
        <v/>
      </c>
      <c r="K76" s="225" t="e">
        <f t="shared" si="10"/>
        <v>#REF!</v>
      </c>
      <c r="O76" s="216">
        <f t="shared" si="13"/>
        <v>228.106511</v>
      </c>
      <c r="P76" s="216">
        <f>SUMIFS('基本支出总表（开）'!M:M,'基本支出总表（开）'!B:B,B76)</f>
        <v>0</v>
      </c>
      <c r="Q76" s="216">
        <f>SUMIFS('项目支出总表（开）'!V:V,'项目支出总表（开）'!B:B,B76)</f>
        <v>228.106511</v>
      </c>
    </row>
    <row r="77" s="99" customFormat="1" spans="1:17">
      <c r="A77" s="4"/>
      <c r="B77" s="4"/>
      <c r="C77" s="195"/>
      <c r="D77" s="195"/>
      <c r="E77" s="195"/>
      <c r="F77" s="196"/>
      <c r="G77" s="196"/>
      <c r="H77" s="196"/>
      <c r="I77" s="197"/>
      <c r="J77" s="197"/>
      <c r="K77" s="197"/>
      <c r="O77" s="196"/>
      <c r="P77" s="196"/>
      <c r="Q77" s="196"/>
    </row>
    <row r="78" s="99" customFormat="1" spans="1:17">
      <c r="A78" s="4"/>
      <c r="B78" s="4"/>
      <c r="C78" s="195"/>
      <c r="D78" s="195"/>
      <c r="E78" s="195"/>
      <c r="F78" s="196"/>
      <c r="G78" s="196"/>
      <c r="H78" s="196"/>
      <c r="I78" s="197"/>
      <c r="J78" s="197"/>
      <c r="K78" s="197"/>
      <c r="O78" s="196"/>
      <c r="P78" s="196"/>
      <c r="Q78" s="196"/>
    </row>
    <row r="79" s="99" customFormat="1" spans="1:17">
      <c r="A79" s="4"/>
      <c r="B79" s="4"/>
      <c r="C79" s="195"/>
      <c r="D79" s="195"/>
      <c r="E79" s="195"/>
      <c r="F79" s="196"/>
      <c r="G79" s="196"/>
      <c r="H79" s="196"/>
      <c r="I79" s="197"/>
      <c r="J79" s="197"/>
      <c r="K79" s="197"/>
      <c r="O79" s="196"/>
      <c r="P79" s="196"/>
      <c r="Q79" s="196"/>
    </row>
    <row r="80" s="99" customFormat="1" spans="1:17">
      <c r="A80" s="4"/>
      <c r="B80" s="4"/>
      <c r="C80" s="195"/>
      <c r="D80" s="195"/>
      <c r="E80" s="195"/>
      <c r="F80" s="196"/>
      <c r="G80" s="196"/>
      <c r="H80" s="196"/>
      <c r="I80" s="197"/>
      <c r="J80" s="197"/>
      <c r="K80" s="197"/>
      <c r="O80" s="196"/>
      <c r="P80" s="196"/>
      <c r="Q80" s="196"/>
    </row>
    <row r="81" s="99" customFormat="1" spans="1:17">
      <c r="A81" s="4"/>
      <c r="B81" s="4"/>
      <c r="C81" s="195"/>
      <c r="D81" s="195"/>
      <c r="E81" s="195"/>
      <c r="F81" s="196"/>
      <c r="G81" s="196"/>
      <c r="H81" s="196"/>
      <c r="I81" s="197"/>
      <c r="J81" s="197"/>
      <c r="K81" s="197"/>
      <c r="O81" s="196"/>
      <c r="P81" s="196"/>
      <c r="Q81" s="196"/>
    </row>
    <row r="82" s="99" customFormat="1" spans="1:17">
      <c r="A82" s="4"/>
      <c r="B82" s="4"/>
      <c r="C82" s="195"/>
      <c r="D82" s="195"/>
      <c r="E82" s="195"/>
      <c r="F82" s="196"/>
      <c r="G82" s="196"/>
      <c r="H82" s="196"/>
      <c r="I82" s="197"/>
      <c r="J82" s="197"/>
      <c r="K82" s="197"/>
      <c r="O82" s="196"/>
      <c r="P82" s="196"/>
      <c r="Q82" s="196"/>
    </row>
    <row r="83" s="99" customFormat="1" spans="1:17">
      <c r="A83" s="4"/>
      <c r="B83" s="4"/>
      <c r="C83" s="195"/>
      <c r="D83" s="195"/>
      <c r="E83" s="195"/>
      <c r="F83" s="196"/>
      <c r="G83" s="196"/>
      <c r="H83" s="196"/>
      <c r="I83" s="197"/>
      <c r="J83" s="197"/>
      <c r="K83" s="197"/>
      <c r="O83" s="196"/>
      <c r="P83" s="196"/>
      <c r="Q83" s="196"/>
    </row>
    <row r="84" s="99" customFormat="1" spans="1:17">
      <c r="A84" s="4"/>
      <c r="B84" s="4"/>
      <c r="C84" s="195"/>
      <c r="D84" s="195"/>
      <c r="E84" s="195"/>
      <c r="F84" s="196"/>
      <c r="G84" s="196"/>
      <c r="H84" s="196"/>
      <c r="I84" s="197"/>
      <c r="J84" s="197"/>
      <c r="K84" s="197"/>
      <c r="O84" s="196"/>
      <c r="P84" s="196"/>
      <c r="Q84" s="196"/>
    </row>
    <row r="85" s="99" customFormat="1" spans="1:17">
      <c r="A85" s="4"/>
      <c r="B85" s="4"/>
      <c r="C85" s="195"/>
      <c r="D85" s="195"/>
      <c r="E85" s="195"/>
      <c r="F85" s="196"/>
      <c r="G85" s="196"/>
      <c r="H85" s="196"/>
      <c r="I85" s="197"/>
      <c r="J85" s="197"/>
      <c r="K85" s="197"/>
      <c r="O85" s="196"/>
      <c r="P85" s="196"/>
      <c r="Q85" s="196"/>
    </row>
    <row r="86" s="99" customFormat="1" spans="1:17">
      <c r="A86" s="4"/>
      <c r="B86" s="4"/>
      <c r="C86" s="195"/>
      <c r="D86" s="195"/>
      <c r="E86" s="195"/>
      <c r="F86" s="196"/>
      <c r="G86" s="196"/>
      <c r="H86" s="196"/>
      <c r="I86" s="197"/>
      <c r="J86" s="197"/>
      <c r="K86" s="197"/>
      <c r="O86" s="196"/>
      <c r="P86" s="196"/>
      <c r="Q86" s="196"/>
    </row>
    <row r="87" s="99" customFormat="1" spans="1:17">
      <c r="A87" s="4"/>
      <c r="B87" s="4"/>
      <c r="C87" s="195"/>
      <c r="D87" s="195"/>
      <c r="E87" s="195"/>
      <c r="F87" s="196"/>
      <c r="G87" s="196"/>
      <c r="H87" s="196"/>
      <c r="I87" s="197"/>
      <c r="J87" s="197"/>
      <c r="K87" s="197"/>
      <c r="O87" s="196"/>
      <c r="P87" s="196"/>
      <c r="Q87" s="196"/>
    </row>
    <row r="88" s="99" customFormat="1" spans="1:17">
      <c r="A88" s="4"/>
      <c r="B88" s="4"/>
      <c r="C88" s="195"/>
      <c r="D88" s="195"/>
      <c r="E88" s="195"/>
      <c r="F88" s="196"/>
      <c r="G88" s="196"/>
      <c r="H88" s="196"/>
      <c r="I88" s="197"/>
      <c r="J88" s="197"/>
      <c r="K88" s="197"/>
      <c r="O88" s="196"/>
      <c r="P88" s="196"/>
      <c r="Q88" s="196"/>
    </row>
    <row r="89" s="99" customFormat="1" spans="1:17">
      <c r="A89" s="4"/>
      <c r="B89" s="4"/>
      <c r="C89" s="195"/>
      <c r="D89" s="195"/>
      <c r="E89" s="195"/>
      <c r="F89" s="196"/>
      <c r="G89" s="196"/>
      <c r="H89" s="196"/>
      <c r="I89" s="197"/>
      <c r="J89" s="197"/>
      <c r="K89" s="197"/>
      <c r="O89" s="196"/>
      <c r="P89" s="196"/>
      <c r="Q89" s="196"/>
    </row>
    <row r="90" s="99" customFormat="1" spans="1:17">
      <c r="A90" s="4"/>
      <c r="B90" s="4"/>
      <c r="C90" s="195"/>
      <c r="D90" s="195"/>
      <c r="E90" s="195"/>
      <c r="F90" s="196"/>
      <c r="G90" s="196"/>
      <c r="H90" s="196"/>
      <c r="I90" s="197"/>
      <c r="J90" s="197"/>
      <c r="K90" s="197"/>
      <c r="O90" s="196"/>
      <c r="P90" s="196"/>
      <c r="Q90" s="196"/>
    </row>
    <row r="91" s="99" customFormat="1" spans="1:17">
      <c r="A91" s="4"/>
      <c r="B91" s="4"/>
      <c r="C91" s="195"/>
      <c r="D91" s="195"/>
      <c r="E91" s="195"/>
      <c r="F91" s="196"/>
      <c r="G91" s="196"/>
      <c r="H91" s="196"/>
      <c r="I91" s="197"/>
      <c r="J91" s="197"/>
      <c r="K91" s="197"/>
      <c r="O91" s="196"/>
      <c r="P91" s="196"/>
      <c r="Q91" s="196"/>
    </row>
    <row r="92" s="99" customFormat="1" spans="1:17">
      <c r="A92" s="4"/>
      <c r="B92" s="4"/>
      <c r="C92" s="195"/>
      <c r="D92" s="195"/>
      <c r="E92" s="195"/>
      <c r="F92" s="196"/>
      <c r="G92" s="196"/>
      <c r="H92" s="196"/>
      <c r="I92" s="197"/>
      <c r="J92" s="197"/>
      <c r="K92" s="197"/>
      <c r="O92" s="196"/>
      <c r="P92" s="196"/>
      <c r="Q92" s="196"/>
    </row>
    <row r="93" s="99" customFormat="1" spans="1:17">
      <c r="A93" s="4"/>
      <c r="B93" s="4"/>
      <c r="C93" s="195"/>
      <c r="D93" s="195"/>
      <c r="E93" s="195"/>
      <c r="F93" s="196"/>
      <c r="G93" s="196"/>
      <c r="H93" s="196"/>
      <c r="I93" s="197"/>
      <c r="J93" s="197"/>
      <c r="K93" s="197"/>
      <c r="O93" s="196"/>
      <c r="P93" s="196"/>
      <c r="Q93" s="196"/>
    </row>
    <row r="94" s="99" customFormat="1" spans="1:17">
      <c r="A94" s="4"/>
      <c r="B94" s="4"/>
      <c r="C94" s="195"/>
      <c r="D94" s="195"/>
      <c r="E94" s="195"/>
      <c r="F94" s="196"/>
      <c r="G94" s="196"/>
      <c r="H94" s="196"/>
      <c r="I94" s="197"/>
      <c r="J94" s="197"/>
      <c r="K94" s="197"/>
      <c r="O94" s="196"/>
      <c r="P94" s="196"/>
      <c r="Q94" s="196"/>
    </row>
    <row r="95" s="99" customFormat="1" spans="1:17">
      <c r="A95" s="4"/>
      <c r="B95" s="4"/>
      <c r="C95" s="195"/>
      <c r="D95" s="195"/>
      <c r="E95" s="195"/>
      <c r="F95" s="196"/>
      <c r="G95" s="196"/>
      <c r="H95" s="196"/>
      <c r="I95" s="197"/>
      <c r="J95" s="197"/>
      <c r="K95" s="197"/>
      <c r="O95" s="196"/>
      <c r="P95" s="196"/>
      <c r="Q95" s="196"/>
    </row>
    <row r="96" s="99" customFormat="1" spans="1:17">
      <c r="A96" s="4"/>
      <c r="B96" s="4"/>
      <c r="C96" s="195"/>
      <c r="D96" s="195"/>
      <c r="E96" s="195"/>
      <c r="F96" s="196"/>
      <c r="G96" s="196"/>
      <c r="H96" s="196"/>
      <c r="I96" s="197"/>
      <c r="J96" s="197"/>
      <c r="K96" s="197"/>
      <c r="O96" s="196"/>
      <c r="P96" s="196"/>
      <c r="Q96" s="196"/>
    </row>
    <row r="97" s="99" customFormat="1" spans="1:17">
      <c r="A97" s="4"/>
      <c r="B97" s="4"/>
      <c r="C97" s="195"/>
      <c r="D97" s="195"/>
      <c r="E97" s="195"/>
      <c r="F97" s="196"/>
      <c r="G97" s="196"/>
      <c r="H97" s="196"/>
      <c r="I97" s="197"/>
      <c r="J97" s="197"/>
      <c r="K97" s="197"/>
      <c r="O97" s="196"/>
      <c r="P97" s="196"/>
      <c r="Q97" s="196"/>
    </row>
    <row r="98" s="99" customFormat="1" spans="1:17">
      <c r="A98" s="4"/>
      <c r="B98" s="4"/>
      <c r="C98" s="195"/>
      <c r="D98" s="195"/>
      <c r="E98" s="195"/>
      <c r="F98" s="196"/>
      <c r="G98" s="196"/>
      <c r="H98" s="196"/>
      <c r="I98" s="197"/>
      <c r="J98" s="197"/>
      <c r="K98" s="197"/>
      <c r="O98" s="196"/>
      <c r="P98" s="196"/>
      <c r="Q98" s="196"/>
    </row>
    <row r="99" s="99" customFormat="1" spans="1:17">
      <c r="A99" s="4"/>
      <c r="B99" s="4"/>
      <c r="C99" s="195"/>
      <c r="D99" s="195"/>
      <c r="E99" s="195"/>
      <c r="F99" s="196"/>
      <c r="G99" s="196"/>
      <c r="H99" s="196"/>
      <c r="I99" s="197"/>
      <c r="J99" s="197"/>
      <c r="K99" s="197"/>
      <c r="O99" s="196"/>
      <c r="P99" s="196"/>
      <c r="Q99" s="196"/>
    </row>
    <row r="100" s="99" customFormat="1" spans="1:17">
      <c r="A100" s="4"/>
      <c r="B100" s="4"/>
      <c r="C100" s="195"/>
      <c r="D100" s="195"/>
      <c r="E100" s="195"/>
      <c r="F100" s="196"/>
      <c r="G100" s="196"/>
      <c r="H100" s="196"/>
      <c r="I100" s="197"/>
      <c r="J100" s="197"/>
      <c r="K100" s="197"/>
      <c r="O100" s="196"/>
      <c r="P100" s="196"/>
      <c r="Q100" s="196"/>
    </row>
    <row r="101" s="99" customFormat="1" spans="1:17">
      <c r="A101" s="4"/>
      <c r="B101" s="4"/>
      <c r="C101" s="195"/>
      <c r="D101" s="195"/>
      <c r="E101" s="195"/>
      <c r="F101" s="196"/>
      <c r="G101" s="196"/>
      <c r="H101" s="196"/>
      <c r="I101" s="197"/>
      <c r="J101" s="197"/>
      <c r="K101" s="197"/>
      <c r="O101" s="196"/>
      <c r="P101" s="196"/>
      <c r="Q101" s="196"/>
    </row>
    <row r="102" s="99" customFormat="1" spans="1:17">
      <c r="A102" s="4"/>
      <c r="B102" s="4"/>
      <c r="C102" s="195"/>
      <c r="D102" s="195"/>
      <c r="E102" s="195"/>
      <c r="F102" s="196"/>
      <c r="G102" s="196"/>
      <c r="H102" s="196"/>
      <c r="I102" s="197"/>
      <c r="J102" s="197"/>
      <c r="K102" s="197"/>
      <c r="O102" s="196"/>
      <c r="P102" s="196"/>
      <c r="Q102" s="196"/>
    </row>
    <row r="103" s="99" customFormat="1" spans="1:17">
      <c r="A103" s="4"/>
      <c r="B103" s="4"/>
      <c r="C103" s="195"/>
      <c r="D103" s="195"/>
      <c r="E103" s="195"/>
      <c r="F103" s="196"/>
      <c r="G103" s="196"/>
      <c r="H103" s="196"/>
      <c r="I103" s="197"/>
      <c r="J103" s="197"/>
      <c r="K103" s="197"/>
      <c r="O103" s="196"/>
      <c r="P103" s="196"/>
      <c r="Q103" s="196"/>
    </row>
    <row r="104" s="99" customFormat="1" spans="1:17">
      <c r="A104" s="4"/>
      <c r="B104" s="4"/>
      <c r="C104" s="195"/>
      <c r="D104" s="195"/>
      <c r="E104" s="195"/>
      <c r="F104" s="196"/>
      <c r="G104" s="196"/>
      <c r="H104" s="196"/>
      <c r="I104" s="197"/>
      <c r="J104" s="197"/>
      <c r="K104" s="197"/>
      <c r="O104" s="196"/>
      <c r="P104" s="196"/>
      <c r="Q104" s="196"/>
    </row>
    <row r="105" s="99" customFormat="1" spans="1:17">
      <c r="A105" s="4"/>
      <c r="B105" s="4"/>
      <c r="C105" s="195"/>
      <c r="D105" s="195"/>
      <c r="E105" s="195"/>
      <c r="F105" s="196"/>
      <c r="G105" s="196"/>
      <c r="H105" s="196"/>
      <c r="I105" s="197"/>
      <c r="J105" s="197"/>
      <c r="K105" s="197"/>
      <c r="O105" s="196"/>
      <c r="P105" s="196"/>
      <c r="Q105" s="196"/>
    </row>
    <row r="106" s="99" customFormat="1" spans="1:17">
      <c r="A106" s="4"/>
      <c r="B106" s="4"/>
      <c r="C106" s="195"/>
      <c r="D106" s="195"/>
      <c r="E106" s="195"/>
      <c r="F106" s="196"/>
      <c r="G106" s="196"/>
      <c r="H106" s="196"/>
      <c r="I106" s="197"/>
      <c r="J106" s="197"/>
      <c r="K106" s="197"/>
      <c r="O106" s="196"/>
      <c r="P106" s="196"/>
      <c r="Q106" s="196"/>
    </row>
    <row r="107" s="99" customFormat="1" spans="1:17">
      <c r="A107" s="4"/>
      <c r="B107" s="4"/>
      <c r="C107" s="195"/>
      <c r="D107" s="195"/>
      <c r="E107" s="195"/>
      <c r="F107" s="196"/>
      <c r="G107" s="196"/>
      <c r="H107" s="196"/>
      <c r="I107" s="197"/>
      <c r="J107" s="197"/>
      <c r="K107" s="197"/>
      <c r="O107" s="196"/>
      <c r="P107" s="196"/>
      <c r="Q107" s="196"/>
    </row>
    <row r="108" s="99" customFormat="1" spans="1:17">
      <c r="A108" s="4"/>
      <c r="B108" s="4"/>
      <c r="C108" s="195"/>
      <c r="D108" s="195"/>
      <c r="E108" s="195"/>
      <c r="F108" s="196"/>
      <c r="G108" s="196"/>
      <c r="H108" s="196"/>
      <c r="I108" s="197"/>
      <c r="J108" s="197"/>
      <c r="K108" s="197"/>
      <c r="O108" s="196"/>
      <c r="P108" s="196"/>
      <c r="Q108" s="196"/>
    </row>
    <row r="109" s="99" customFormat="1" spans="1:17">
      <c r="A109" s="4"/>
      <c r="B109" s="4"/>
      <c r="C109" s="195"/>
      <c r="D109" s="195"/>
      <c r="E109" s="195"/>
      <c r="F109" s="196"/>
      <c r="G109" s="196"/>
      <c r="H109" s="196"/>
      <c r="I109" s="197"/>
      <c r="J109" s="197"/>
      <c r="K109" s="197"/>
      <c r="O109" s="196"/>
      <c r="P109" s="196"/>
      <c r="Q109" s="196"/>
    </row>
    <row r="110" s="99" customFormat="1" spans="1:17">
      <c r="A110" s="4"/>
      <c r="B110" s="4"/>
      <c r="C110" s="195"/>
      <c r="D110" s="195"/>
      <c r="E110" s="195"/>
      <c r="F110" s="196"/>
      <c r="G110" s="196"/>
      <c r="H110" s="196"/>
      <c r="I110" s="197"/>
      <c r="J110" s="197"/>
      <c r="K110" s="197"/>
      <c r="O110" s="196"/>
      <c r="P110" s="196"/>
      <c r="Q110" s="196"/>
    </row>
    <row r="111" s="99" customFormat="1" spans="1:17">
      <c r="A111" s="4"/>
      <c r="B111" s="4"/>
      <c r="C111" s="195"/>
      <c r="D111" s="195"/>
      <c r="E111" s="195"/>
      <c r="F111" s="196"/>
      <c r="G111" s="196"/>
      <c r="H111" s="196"/>
      <c r="I111" s="197"/>
      <c r="J111" s="197"/>
      <c r="K111" s="197"/>
      <c r="O111" s="196"/>
      <c r="P111" s="196"/>
      <c r="Q111" s="196"/>
    </row>
    <row r="112" s="99" customFormat="1" spans="1:17">
      <c r="A112" s="4"/>
      <c r="B112" s="4"/>
      <c r="C112" s="195"/>
      <c r="D112" s="195"/>
      <c r="E112" s="195"/>
      <c r="F112" s="196"/>
      <c r="G112" s="196"/>
      <c r="H112" s="196"/>
      <c r="I112" s="197"/>
      <c r="J112" s="197"/>
      <c r="K112" s="197"/>
      <c r="O112" s="196"/>
      <c r="P112" s="196"/>
      <c r="Q112" s="196"/>
    </row>
    <row r="113" s="99" customFormat="1" spans="1:17">
      <c r="A113" s="4"/>
      <c r="B113" s="4"/>
      <c r="C113" s="195"/>
      <c r="D113" s="195"/>
      <c r="E113" s="195"/>
      <c r="F113" s="196"/>
      <c r="G113" s="196"/>
      <c r="H113" s="196"/>
      <c r="I113" s="197"/>
      <c r="J113" s="197"/>
      <c r="K113" s="197"/>
      <c r="O113" s="196"/>
      <c r="P113" s="196"/>
      <c r="Q113" s="196"/>
    </row>
    <row r="114" s="99" customFormat="1" spans="1:17">
      <c r="A114" s="4"/>
      <c r="B114" s="4"/>
      <c r="C114" s="195"/>
      <c r="D114" s="195"/>
      <c r="E114" s="195"/>
      <c r="F114" s="196"/>
      <c r="G114" s="196"/>
      <c r="H114" s="196"/>
      <c r="I114" s="197"/>
      <c r="J114" s="197"/>
      <c r="K114" s="197"/>
      <c r="O114" s="196"/>
      <c r="P114" s="196"/>
      <c r="Q114" s="196"/>
    </row>
    <row r="115" s="99" customFormat="1" spans="1:17">
      <c r="A115" s="4"/>
      <c r="B115" s="4"/>
      <c r="C115" s="195"/>
      <c r="D115" s="195"/>
      <c r="E115" s="195"/>
      <c r="F115" s="196"/>
      <c r="G115" s="196"/>
      <c r="H115" s="196"/>
      <c r="I115" s="197"/>
      <c r="J115" s="197"/>
      <c r="K115" s="197"/>
      <c r="O115" s="196"/>
      <c r="P115" s="196"/>
      <c r="Q115" s="196"/>
    </row>
    <row r="116" s="99" customFormat="1" spans="1:17">
      <c r="A116" s="4"/>
      <c r="B116" s="4"/>
      <c r="C116" s="195"/>
      <c r="D116" s="195"/>
      <c r="E116" s="195"/>
      <c r="F116" s="196"/>
      <c r="G116" s="196"/>
      <c r="H116" s="196"/>
      <c r="I116" s="197"/>
      <c r="J116" s="197"/>
      <c r="K116" s="197"/>
      <c r="O116" s="196"/>
      <c r="P116" s="196"/>
      <c r="Q116" s="196"/>
    </row>
    <row r="117" s="99" customFormat="1" spans="1:17">
      <c r="A117" s="4"/>
      <c r="B117" s="4"/>
      <c r="C117" s="195"/>
      <c r="D117" s="195"/>
      <c r="E117" s="195"/>
      <c r="F117" s="196"/>
      <c r="G117" s="196"/>
      <c r="H117" s="196"/>
      <c r="I117" s="197"/>
      <c r="J117" s="197"/>
      <c r="K117" s="197"/>
      <c r="O117" s="196"/>
      <c r="P117" s="196"/>
      <c r="Q117" s="196"/>
    </row>
    <row r="118" s="99" customFormat="1" spans="1:17">
      <c r="A118" s="4"/>
      <c r="B118" s="4"/>
      <c r="C118" s="195"/>
      <c r="D118" s="195"/>
      <c r="E118" s="195"/>
      <c r="F118" s="196"/>
      <c r="G118" s="196"/>
      <c r="H118" s="196"/>
      <c r="I118" s="197"/>
      <c r="J118" s="197"/>
      <c r="K118" s="197"/>
      <c r="O118" s="196"/>
      <c r="P118" s="196"/>
      <c r="Q118" s="196"/>
    </row>
    <row r="119" s="99" customFormat="1" spans="1:17">
      <c r="A119" s="4"/>
      <c r="B119" s="4"/>
      <c r="C119" s="195"/>
      <c r="D119" s="195"/>
      <c r="E119" s="195"/>
      <c r="F119" s="196"/>
      <c r="G119" s="196"/>
      <c r="H119" s="196"/>
      <c r="I119" s="197"/>
      <c r="J119" s="197"/>
      <c r="K119" s="197"/>
      <c r="O119" s="196"/>
      <c r="P119" s="196"/>
      <c r="Q119" s="196"/>
    </row>
    <row r="120" s="99" customFormat="1" spans="1:17">
      <c r="A120" s="4"/>
      <c r="B120" s="4"/>
      <c r="C120" s="195"/>
      <c r="D120" s="195"/>
      <c r="E120" s="195"/>
      <c r="F120" s="196"/>
      <c r="G120" s="196"/>
      <c r="H120" s="196"/>
      <c r="I120" s="197"/>
      <c r="J120" s="197"/>
      <c r="K120" s="197"/>
      <c r="O120" s="196"/>
      <c r="P120" s="196"/>
      <c r="Q120" s="196"/>
    </row>
    <row r="121" s="99" customFormat="1" spans="1:17">
      <c r="A121" s="4"/>
      <c r="B121" s="4"/>
      <c r="C121" s="195"/>
      <c r="D121" s="195"/>
      <c r="E121" s="195"/>
      <c r="F121" s="196"/>
      <c r="G121" s="196"/>
      <c r="H121" s="196"/>
      <c r="I121" s="197"/>
      <c r="J121" s="197"/>
      <c r="K121" s="197"/>
      <c r="O121" s="196"/>
      <c r="P121" s="196"/>
      <c r="Q121" s="196"/>
    </row>
    <row r="122" s="99" customFormat="1" spans="1:17">
      <c r="A122" s="4"/>
      <c r="B122" s="4"/>
      <c r="C122" s="195"/>
      <c r="D122" s="195"/>
      <c r="E122" s="195"/>
      <c r="F122" s="196"/>
      <c r="G122" s="196"/>
      <c r="H122" s="196"/>
      <c r="I122" s="197"/>
      <c r="J122" s="197"/>
      <c r="K122" s="197"/>
      <c r="O122" s="196"/>
      <c r="P122" s="196"/>
      <c r="Q122" s="196"/>
    </row>
    <row r="123" s="99" customFormat="1" spans="1:17">
      <c r="A123" s="4"/>
      <c r="B123" s="4"/>
      <c r="C123" s="195"/>
      <c r="D123" s="195"/>
      <c r="E123" s="195"/>
      <c r="F123" s="196"/>
      <c r="G123" s="196"/>
      <c r="H123" s="196"/>
      <c r="I123" s="197"/>
      <c r="J123" s="197"/>
      <c r="K123" s="197"/>
      <c r="O123" s="196"/>
      <c r="P123" s="196"/>
      <c r="Q123" s="196"/>
    </row>
    <row r="124" s="99" customFormat="1" spans="1:17">
      <c r="A124" s="4"/>
      <c r="B124" s="4"/>
      <c r="C124" s="195"/>
      <c r="D124" s="195"/>
      <c r="E124" s="195"/>
      <c r="F124" s="196"/>
      <c r="G124" s="196"/>
      <c r="H124" s="196"/>
      <c r="I124" s="197"/>
      <c r="J124" s="197"/>
      <c r="K124" s="197"/>
      <c r="O124" s="196"/>
      <c r="P124" s="196"/>
      <c r="Q124" s="196"/>
    </row>
    <row r="125" s="99" customFormat="1" spans="1:17">
      <c r="A125" s="4"/>
      <c r="B125" s="4"/>
      <c r="C125" s="195"/>
      <c r="D125" s="195"/>
      <c r="E125" s="195"/>
      <c r="F125" s="196"/>
      <c r="G125" s="196"/>
      <c r="H125" s="196"/>
      <c r="I125" s="197"/>
      <c r="J125" s="197"/>
      <c r="K125" s="197"/>
      <c r="O125" s="196"/>
      <c r="P125" s="196"/>
      <c r="Q125" s="196"/>
    </row>
    <row r="126" s="99" customFormat="1" spans="1:17">
      <c r="A126" s="4"/>
      <c r="B126" s="4"/>
      <c r="C126" s="195"/>
      <c r="D126" s="195"/>
      <c r="E126" s="195"/>
      <c r="F126" s="196"/>
      <c r="G126" s="196"/>
      <c r="H126" s="196"/>
      <c r="I126" s="197"/>
      <c r="J126" s="197"/>
      <c r="K126" s="197"/>
      <c r="O126" s="196"/>
      <c r="P126" s="196"/>
      <c r="Q126" s="196"/>
    </row>
    <row r="127" s="99" customFormat="1" spans="1:17">
      <c r="A127" s="4"/>
      <c r="B127" s="4"/>
      <c r="C127" s="195"/>
      <c r="D127" s="195"/>
      <c r="E127" s="195"/>
      <c r="F127" s="196"/>
      <c r="G127" s="196"/>
      <c r="H127" s="196"/>
      <c r="I127" s="197"/>
      <c r="J127" s="197"/>
      <c r="K127" s="197"/>
      <c r="O127" s="196"/>
      <c r="P127" s="196"/>
      <c r="Q127" s="196"/>
    </row>
    <row r="128" s="99" customFormat="1" spans="1:17">
      <c r="A128" s="4"/>
      <c r="B128" s="4"/>
      <c r="C128" s="195"/>
      <c r="D128" s="195"/>
      <c r="E128" s="195"/>
      <c r="F128" s="196"/>
      <c r="G128" s="196"/>
      <c r="H128" s="196"/>
      <c r="I128" s="197"/>
      <c r="J128" s="197"/>
      <c r="K128" s="197"/>
      <c r="O128" s="196"/>
      <c r="P128" s="196"/>
      <c r="Q128" s="196"/>
    </row>
    <row r="129" s="99" customFormat="1" spans="1:17">
      <c r="A129" s="4"/>
      <c r="B129" s="4"/>
      <c r="C129" s="195"/>
      <c r="D129" s="195"/>
      <c r="E129" s="195"/>
      <c r="F129" s="196"/>
      <c r="G129" s="196"/>
      <c r="H129" s="196"/>
      <c r="I129" s="197"/>
      <c r="J129" s="197"/>
      <c r="K129" s="197"/>
      <c r="O129" s="196"/>
      <c r="P129" s="196"/>
      <c r="Q129" s="196"/>
    </row>
    <row r="130" s="99" customFormat="1" spans="1:17">
      <c r="A130" s="4"/>
      <c r="B130" s="4"/>
      <c r="C130" s="195"/>
      <c r="D130" s="195"/>
      <c r="E130" s="195"/>
      <c r="F130" s="196"/>
      <c r="G130" s="196"/>
      <c r="H130" s="196"/>
      <c r="I130" s="197"/>
      <c r="J130" s="197"/>
      <c r="K130" s="197"/>
      <c r="O130" s="196"/>
      <c r="P130" s="196"/>
      <c r="Q130" s="196"/>
    </row>
    <row r="131" s="99" customFormat="1" spans="1:17">
      <c r="A131" s="4"/>
      <c r="B131" s="4"/>
      <c r="C131" s="195"/>
      <c r="D131" s="195"/>
      <c r="E131" s="195"/>
      <c r="F131" s="196"/>
      <c r="G131" s="196"/>
      <c r="H131" s="196"/>
      <c r="I131" s="197"/>
      <c r="J131" s="197"/>
      <c r="K131" s="197"/>
      <c r="O131" s="196"/>
      <c r="P131" s="196"/>
      <c r="Q131" s="196"/>
    </row>
    <row r="132" s="99" customFormat="1" spans="1:17">
      <c r="A132" s="4"/>
      <c r="B132" s="4"/>
      <c r="C132" s="195"/>
      <c r="D132" s="195"/>
      <c r="E132" s="195"/>
      <c r="F132" s="196"/>
      <c r="G132" s="196"/>
      <c r="H132" s="196"/>
      <c r="I132" s="197"/>
      <c r="J132" s="197"/>
      <c r="K132" s="197"/>
      <c r="O132" s="196"/>
      <c r="P132" s="196"/>
      <c r="Q132" s="196"/>
    </row>
    <row r="133" s="99" customFormat="1" spans="1:17">
      <c r="A133" s="4"/>
      <c r="B133" s="4"/>
      <c r="C133" s="195"/>
      <c r="D133" s="195"/>
      <c r="E133" s="195"/>
      <c r="F133" s="196"/>
      <c r="G133" s="196"/>
      <c r="H133" s="196"/>
      <c r="I133" s="197"/>
      <c r="J133" s="197"/>
      <c r="K133" s="197"/>
      <c r="O133" s="196"/>
      <c r="P133" s="196"/>
      <c r="Q133" s="196"/>
    </row>
    <row r="134" s="99" customFormat="1" spans="1:17">
      <c r="A134" s="4"/>
      <c r="B134" s="4"/>
      <c r="C134" s="195"/>
      <c r="D134" s="195"/>
      <c r="E134" s="195"/>
      <c r="F134" s="196"/>
      <c r="G134" s="196"/>
      <c r="H134" s="196"/>
      <c r="I134" s="197"/>
      <c r="J134" s="197"/>
      <c r="K134" s="197"/>
      <c r="O134" s="196"/>
      <c r="P134" s="196"/>
      <c r="Q134" s="196"/>
    </row>
    <row r="135" s="99" customFormat="1" spans="1:17">
      <c r="A135" s="4"/>
      <c r="B135" s="4"/>
      <c r="C135" s="195"/>
      <c r="D135" s="195"/>
      <c r="E135" s="195"/>
      <c r="F135" s="196"/>
      <c r="G135" s="196"/>
      <c r="H135" s="196"/>
      <c r="I135" s="197"/>
      <c r="J135" s="197"/>
      <c r="K135" s="197"/>
      <c r="O135" s="196"/>
      <c r="P135" s="196"/>
      <c r="Q135" s="196"/>
    </row>
    <row r="136" s="99" customFormat="1" spans="1:17">
      <c r="A136" s="4"/>
      <c r="B136" s="4"/>
      <c r="C136" s="195"/>
      <c r="D136" s="195"/>
      <c r="E136" s="195"/>
      <c r="F136" s="196"/>
      <c r="G136" s="196"/>
      <c r="H136" s="196"/>
      <c r="I136" s="197"/>
      <c r="J136" s="197"/>
      <c r="K136" s="197"/>
      <c r="O136" s="196"/>
      <c r="P136" s="196"/>
      <c r="Q136" s="196"/>
    </row>
    <row r="137" s="99" customFormat="1" spans="1:17">
      <c r="A137" s="4"/>
      <c r="B137" s="4"/>
      <c r="C137" s="195"/>
      <c r="D137" s="195"/>
      <c r="E137" s="195"/>
      <c r="F137" s="196"/>
      <c r="G137" s="196"/>
      <c r="H137" s="196"/>
      <c r="I137" s="197"/>
      <c r="J137" s="197"/>
      <c r="K137" s="197"/>
      <c r="O137" s="196"/>
      <c r="P137" s="196"/>
      <c r="Q137" s="196"/>
    </row>
    <row r="138" s="99" customFormat="1" spans="1:17">
      <c r="A138" s="4"/>
      <c r="B138" s="4"/>
      <c r="C138" s="195"/>
      <c r="D138" s="195"/>
      <c r="E138" s="195"/>
      <c r="F138" s="196"/>
      <c r="G138" s="196"/>
      <c r="H138" s="196"/>
      <c r="I138" s="197"/>
      <c r="J138" s="197"/>
      <c r="K138" s="197"/>
      <c r="O138" s="196"/>
      <c r="P138" s="196"/>
      <c r="Q138" s="196"/>
    </row>
    <row r="139" s="99" customFormat="1" spans="1:17">
      <c r="A139" s="4"/>
      <c r="B139" s="4"/>
      <c r="C139" s="195"/>
      <c r="D139" s="195"/>
      <c r="E139" s="195"/>
      <c r="F139" s="196"/>
      <c r="G139" s="196"/>
      <c r="H139" s="196"/>
      <c r="I139" s="197"/>
      <c r="J139" s="197"/>
      <c r="K139" s="197"/>
      <c r="O139" s="196"/>
      <c r="P139" s="196"/>
      <c r="Q139" s="196"/>
    </row>
    <row r="140" s="99" customFormat="1" spans="1:17">
      <c r="A140" s="4"/>
      <c r="B140" s="4"/>
      <c r="C140" s="195"/>
      <c r="D140" s="195"/>
      <c r="E140" s="195"/>
      <c r="F140" s="196"/>
      <c r="G140" s="196"/>
      <c r="H140" s="196"/>
      <c r="I140" s="197"/>
      <c r="J140" s="197"/>
      <c r="K140" s="197"/>
      <c r="O140" s="196"/>
      <c r="P140" s="196"/>
      <c r="Q140" s="196"/>
    </row>
    <row r="141" s="99" customFormat="1" spans="1:17">
      <c r="A141" s="4"/>
      <c r="B141" s="4"/>
      <c r="C141" s="195"/>
      <c r="D141" s="195"/>
      <c r="E141" s="195"/>
      <c r="F141" s="196"/>
      <c r="G141" s="196"/>
      <c r="H141" s="196"/>
      <c r="I141" s="197"/>
      <c r="J141" s="197"/>
      <c r="K141" s="197"/>
      <c r="O141" s="196"/>
      <c r="P141" s="196"/>
      <c r="Q141" s="196"/>
    </row>
    <row r="142" s="99" customFormat="1" spans="1:17">
      <c r="A142" s="4"/>
      <c r="B142" s="4"/>
      <c r="C142" s="195"/>
      <c r="D142" s="195"/>
      <c r="E142" s="195"/>
      <c r="F142" s="196"/>
      <c r="G142" s="196"/>
      <c r="H142" s="196"/>
      <c r="I142" s="197"/>
      <c r="J142" s="197"/>
      <c r="K142" s="197"/>
      <c r="O142" s="196"/>
      <c r="P142" s="196"/>
      <c r="Q142" s="196"/>
    </row>
    <row r="143" s="99" customFormat="1" spans="1:17">
      <c r="A143" s="4"/>
      <c r="B143" s="4"/>
      <c r="C143" s="195"/>
      <c r="D143" s="195"/>
      <c r="E143" s="195"/>
      <c r="F143" s="196"/>
      <c r="G143" s="196"/>
      <c r="H143" s="196"/>
      <c r="I143" s="197"/>
      <c r="J143" s="197"/>
      <c r="K143" s="197"/>
      <c r="O143" s="196"/>
      <c r="P143" s="196"/>
      <c r="Q143" s="196"/>
    </row>
    <row r="144" s="99" customFormat="1" spans="1:17">
      <c r="A144" s="4"/>
      <c r="B144" s="4"/>
      <c r="C144" s="195"/>
      <c r="D144" s="195"/>
      <c r="E144" s="195"/>
      <c r="F144" s="196"/>
      <c r="G144" s="196"/>
      <c r="H144" s="196"/>
      <c r="I144" s="197"/>
      <c r="J144" s="197"/>
      <c r="K144" s="197"/>
      <c r="O144" s="196"/>
      <c r="P144" s="196"/>
      <c r="Q144" s="196"/>
    </row>
    <row r="145" s="99" customFormat="1" spans="1:17">
      <c r="A145" s="4"/>
      <c r="B145" s="4"/>
      <c r="C145" s="195"/>
      <c r="D145" s="195"/>
      <c r="E145" s="195"/>
      <c r="F145" s="196"/>
      <c r="G145" s="196"/>
      <c r="H145" s="196"/>
      <c r="I145" s="197"/>
      <c r="J145" s="197"/>
      <c r="K145" s="197"/>
      <c r="O145" s="196"/>
      <c r="P145" s="196"/>
      <c r="Q145" s="196"/>
    </row>
    <row r="146" s="99" customFormat="1" spans="1:17">
      <c r="A146" s="4"/>
      <c r="B146" s="4"/>
      <c r="C146" s="195"/>
      <c r="D146" s="195"/>
      <c r="E146" s="195"/>
      <c r="F146" s="196"/>
      <c r="G146" s="196"/>
      <c r="H146" s="196"/>
      <c r="I146" s="197"/>
      <c r="J146" s="197"/>
      <c r="K146" s="197"/>
      <c r="O146" s="196"/>
      <c r="P146" s="196"/>
      <c r="Q146" s="196"/>
    </row>
    <row r="147" s="99" customFormat="1" spans="1:17">
      <c r="A147" s="4"/>
      <c r="B147" s="4"/>
      <c r="C147" s="195"/>
      <c r="D147" s="195"/>
      <c r="E147" s="195"/>
      <c r="F147" s="196"/>
      <c r="G147" s="196"/>
      <c r="H147" s="196"/>
      <c r="I147" s="197"/>
      <c r="J147" s="197"/>
      <c r="K147" s="197"/>
      <c r="O147" s="196"/>
      <c r="P147" s="196"/>
      <c r="Q147" s="196"/>
    </row>
    <row r="148" s="99" customFormat="1" spans="1:17">
      <c r="A148" s="4"/>
      <c r="B148" s="4"/>
      <c r="C148" s="195"/>
      <c r="D148" s="195"/>
      <c r="E148" s="195"/>
      <c r="F148" s="196"/>
      <c r="G148" s="196"/>
      <c r="H148" s="196"/>
      <c r="I148" s="197"/>
      <c r="J148" s="197"/>
      <c r="K148" s="197"/>
      <c r="O148" s="196"/>
      <c r="P148" s="196"/>
      <c r="Q148" s="196"/>
    </row>
    <row r="149" s="99" customFormat="1" spans="1:17">
      <c r="A149" s="4"/>
      <c r="B149" s="4"/>
      <c r="C149" s="195"/>
      <c r="D149" s="195"/>
      <c r="E149" s="195"/>
      <c r="F149" s="196"/>
      <c r="G149" s="196"/>
      <c r="H149" s="196"/>
      <c r="I149" s="197"/>
      <c r="J149" s="197"/>
      <c r="K149" s="197"/>
      <c r="O149" s="196"/>
      <c r="P149" s="196"/>
      <c r="Q149" s="196"/>
    </row>
    <row r="150" s="99" customFormat="1" spans="1:17">
      <c r="A150" s="4"/>
      <c r="B150" s="4"/>
      <c r="C150" s="195"/>
      <c r="D150" s="195"/>
      <c r="E150" s="195"/>
      <c r="F150" s="196"/>
      <c r="G150" s="196"/>
      <c r="H150" s="196"/>
      <c r="I150" s="197"/>
      <c r="J150" s="197"/>
      <c r="K150" s="197"/>
      <c r="O150" s="196"/>
      <c r="P150" s="196"/>
      <c r="Q150" s="196"/>
    </row>
    <row r="151" s="99" customFormat="1" spans="1:17">
      <c r="A151" s="4"/>
      <c r="B151" s="4"/>
      <c r="C151" s="195"/>
      <c r="D151" s="195"/>
      <c r="E151" s="195"/>
      <c r="F151" s="196"/>
      <c r="G151" s="196"/>
      <c r="H151" s="196"/>
      <c r="I151" s="197"/>
      <c r="J151" s="197"/>
      <c r="K151" s="197"/>
      <c r="O151" s="196"/>
      <c r="P151" s="196"/>
      <c r="Q151" s="196"/>
    </row>
    <row r="152" s="99" customFormat="1" spans="1:17">
      <c r="A152" s="4"/>
      <c r="B152" s="4"/>
      <c r="C152" s="195"/>
      <c r="D152" s="195"/>
      <c r="E152" s="195"/>
      <c r="F152" s="196"/>
      <c r="G152" s="196"/>
      <c r="H152" s="196"/>
      <c r="I152" s="197"/>
      <c r="J152" s="197"/>
      <c r="K152" s="197"/>
      <c r="O152" s="196"/>
      <c r="P152" s="196"/>
      <c r="Q152" s="196"/>
    </row>
    <row r="153" s="99" customFormat="1" spans="1:17">
      <c r="A153" s="4"/>
      <c r="B153" s="4"/>
      <c r="C153" s="195"/>
      <c r="D153" s="195"/>
      <c r="E153" s="195"/>
      <c r="F153" s="196"/>
      <c r="G153" s="196"/>
      <c r="H153" s="196"/>
      <c r="I153" s="197"/>
      <c r="J153" s="197"/>
      <c r="K153" s="197"/>
      <c r="O153" s="196"/>
      <c r="P153" s="196"/>
      <c r="Q153" s="196"/>
    </row>
    <row r="154" s="99" customFormat="1" spans="1:17">
      <c r="A154" s="4"/>
      <c r="B154" s="4"/>
      <c r="C154" s="195"/>
      <c r="D154" s="195"/>
      <c r="E154" s="195"/>
      <c r="F154" s="196"/>
      <c r="G154" s="196"/>
      <c r="H154" s="196"/>
      <c r="I154" s="197"/>
      <c r="J154" s="197"/>
      <c r="K154" s="197"/>
      <c r="O154" s="196"/>
      <c r="P154" s="196"/>
      <c r="Q154" s="196"/>
    </row>
    <row r="155" s="99" customFormat="1" spans="1:17">
      <c r="A155" s="4"/>
      <c r="B155" s="4"/>
      <c r="C155" s="195"/>
      <c r="D155" s="195"/>
      <c r="E155" s="195"/>
      <c r="F155" s="196"/>
      <c r="G155" s="196"/>
      <c r="H155" s="196"/>
      <c r="I155" s="197"/>
      <c r="J155" s="197"/>
      <c r="K155" s="197"/>
      <c r="O155" s="196"/>
      <c r="P155" s="196"/>
      <c r="Q155" s="196"/>
    </row>
    <row r="156" s="99" customFormat="1" spans="1:17">
      <c r="A156" s="4"/>
      <c r="B156" s="4"/>
      <c r="C156" s="195"/>
      <c r="D156" s="195"/>
      <c r="E156" s="195"/>
      <c r="F156" s="196"/>
      <c r="G156" s="196"/>
      <c r="H156" s="196"/>
      <c r="I156" s="197"/>
      <c r="J156" s="197"/>
      <c r="K156" s="197"/>
      <c r="O156" s="196"/>
      <c r="P156" s="196"/>
      <c r="Q156" s="196"/>
    </row>
    <row r="157" s="99" customFormat="1" spans="1:17">
      <c r="A157" s="4"/>
      <c r="B157" s="4"/>
      <c r="C157" s="195"/>
      <c r="D157" s="195"/>
      <c r="E157" s="195"/>
      <c r="F157" s="196"/>
      <c r="G157" s="196"/>
      <c r="H157" s="196"/>
      <c r="I157" s="197"/>
      <c r="J157" s="197"/>
      <c r="K157" s="197"/>
      <c r="O157" s="196"/>
      <c r="P157" s="196"/>
      <c r="Q157" s="196"/>
    </row>
    <row r="158" s="99" customFormat="1" spans="1:17">
      <c r="A158" s="4"/>
      <c r="B158" s="4"/>
      <c r="C158" s="195"/>
      <c r="D158" s="195"/>
      <c r="E158" s="195"/>
      <c r="F158" s="196"/>
      <c r="G158" s="196"/>
      <c r="H158" s="196"/>
      <c r="I158" s="197"/>
      <c r="J158" s="197"/>
      <c r="K158" s="197"/>
      <c r="O158" s="196"/>
      <c r="P158" s="196"/>
      <c r="Q158" s="196"/>
    </row>
    <row r="159" s="99" customFormat="1" spans="1:17">
      <c r="A159" s="4"/>
      <c r="B159" s="4"/>
      <c r="C159" s="195"/>
      <c r="D159" s="195"/>
      <c r="E159" s="195"/>
      <c r="F159" s="196"/>
      <c r="G159" s="196"/>
      <c r="H159" s="196"/>
      <c r="I159" s="197"/>
      <c r="J159" s="197"/>
      <c r="K159" s="197"/>
      <c r="O159" s="196"/>
      <c r="P159" s="196"/>
      <c r="Q159" s="196"/>
    </row>
    <row r="160" s="99" customFormat="1" spans="1:17">
      <c r="A160" s="4"/>
      <c r="B160" s="4"/>
      <c r="C160" s="195"/>
      <c r="D160" s="195"/>
      <c r="E160" s="195"/>
      <c r="F160" s="196"/>
      <c r="G160" s="196"/>
      <c r="H160" s="196"/>
      <c r="I160" s="197"/>
      <c r="J160" s="197"/>
      <c r="K160" s="197"/>
      <c r="O160" s="196"/>
      <c r="P160" s="196"/>
      <c r="Q160" s="196"/>
    </row>
    <row r="161" s="99" customFormat="1" spans="1:17">
      <c r="A161" s="4"/>
      <c r="B161" s="4"/>
      <c r="C161" s="195"/>
      <c r="D161" s="195"/>
      <c r="E161" s="195"/>
      <c r="F161" s="196"/>
      <c r="G161" s="196"/>
      <c r="H161" s="196"/>
      <c r="I161" s="197"/>
      <c r="J161" s="197"/>
      <c r="K161" s="197"/>
      <c r="O161" s="196"/>
      <c r="P161" s="196"/>
      <c r="Q161" s="196"/>
    </row>
    <row r="162" s="99" customFormat="1" spans="1:17">
      <c r="A162" s="4"/>
      <c r="B162" s="4"/>
      <c r="C162" s="195"/>
      <c r="D162" s="195"/>
      <c r="E162" s="195"/>
      <c r="F162" s="196"/>
      <c r="G162" s="196"/>
      <c r="H162" s="196"/>
      <c r="I162" s="197"/>
      <c r="J162" s="197"/>
      <c r="K162" s="197"/>
      <c r="O162" s="196"/>
      <c r="P162" s="196"/>
      <c r="Q162" s="196"/>
    </row>
    <row r="163" s="99" customFormat="1" spans="1:17">
      <c r="A163" s="4"/>
      <c r="B163" s="4"/>
      <c r="C163" s="195"/>
      <c r="D163" s="195"/>
      <c r="E163" s="195"/>
      <c r="F163" s="196"/>
      <c r="G163" s="196"/>
      <c r="H163" s="196"/>
      <c r="I163" s="197"/>
      <c r="J163" s="197"/>
      <c r="K163" s="197"/>
      <c r="O163" s="196"/>
      <c r="P163" s="196"/>
      <c r="Q163" s="196"/>
    </row>
    <row r="164" s="99" customFormat="1" spans="1:17">
      <c r="A164" s="4"/>
      <c r="B164" s="4"/>
      <c r="C164" s="195"/>
      <c r="D164" s="195"/>
      <c r="E164" s="195"/>
      <c r="F164" s="196"/>
      <c r="G164" s="196"/>
      <c r="H164" s="196"/>
      <c r="I164" s="197"/>
      <c r="J164" s="197"/>
      <c r="K164" s="197"/>
      <c r="O164" s="196"/>
      <c r="P164" s="196"/>
      <c r="Q164" s="196"/>
    </row>
    <row r="165" s="99" customFormat="1" spans="1:17">
      <c r="A165" s="4"/>
      <c r="B165" s="4"/>
      <c r="C165" s="195"/>
      <c r="D165" s="195"/>
      <c r="E165" s="195"/>
      <c r="F165" s="196"/>
      <c r="G165" s="196"/>
      <c r="H165" s="196"/>
      <c r="I165" s="197"/>
      <c r="J165" s="197"/>
      <c r="K165" s="197"/>
      <c r="O165" s="196"/>
      <c r="P165" s="196"/>
      <c r="Q165" s="196"/>
    </row>
    <row r="166" s="99" customFormat="1" spans="1:17">
      <c r="A166" s="4"/>
      <c r="B166" s="4"/>
      <c r="C166" s="195"/>
      <c r="D166" s="195"/>
      <c r="E166" s="195"/>
      <c r="F166" s="196"/>
      <c r="G166" s="196"/>
      <c r="H166" s="196"/>
      <c r="I166" s="197"/>
      <c r="J166" s="197"/>
      <c r="K166" s="197"/>
      <c r="O166" s="196"/>
      <c r="P166" s="196"/>
      <c r="Q166" s="196"/>
    </row>
    <row r="167" s="99" customFormat="1" spans="1:17">
      <c r="A167" s="4"/>
      <c r="B167" s="4"/>
      <c r="C167" s="195"/>
      <c r="D167" s="195"/>
      <c r="E167" s="195"/>
      <c r="F167" s="196"/>
      <c r="G167" s="196"/>
      <c r="H167" s="196"/>
      <c r="I167" s="197"/>
      <c r="J167" s="197"/>
      <c r="K167" s="197"/>
      <c r="O167" s="196"/>
      <c r="P167" s="196"/>
      <c r="Q167" s="196"/>
    </row>
    <row r="168" s="99" customFormat="1" spans="1:17">
      <c r="A168" s="4"/>
      <c r="B168" s="4"/>
      <c r="C168" s="195"/>
      <c r="D168" s="195"/>
      <c r="E168" s="195"/>
      <c r="F168" s="196"/>
      <c r="G168" s="196"/>
      <c r="H168" s="196"/>
      <c r="I168" s="197"/>
      <c r="J168" s="197"/>
      <c r="K168" s="197"/>
      <c r="O168" s="196"/>
      <c r="P168" s="196"/>
      <c r="Q168" s="196"/>
    </row>
    <row r="169" s="99" customFormat="1" spans="1:17">
      <c r="A169" s="4"/>
      <c r="B169" s="4"/>
      <c r="C169" s="195"/>
      <c r="D169" s="195"/>
      <c r="E169" s="195"/>
      <c r="F169" s="196"/>
      <c r="G169" s="196"/>
      <c r="H169" s="196"/>
      <c r="I169" s="197"/>
      <c r="J169" s="197"/>
      <c r="K169" s="197"/>
      <c r="O169" s="196"/>
      <c r="P169" s="196"/>
      <c r="Q169" s="196"/>
    </row>
    <row r="170" s="99" customFormat="1" spans="1:17">
      <c r="A170" s="4"/>
      <c r="B170" s="4"/>
      <c r="C170" s="195"/>
      <c r="D170" s="195"/>
      <c r="E170" s="195"/>
      <c r="F170" s="196"/>
      <c r="G170" s="196"/>
      <c r="H170" s="196"/>
      <c r="I170" s="197"/>
      <c r="J170" s="197"/>
      <c r="K170" s="197"/>
      <c r="O170" s="196"/>
      <c r="P170" s="196"/>
      <c r="Q170" s="196"/>
    </row>
    <row r="171" s="99" customFormat="1" spans="1:17">
      <c r="A171" s="4"/>
      <c r="B171" s="4"/>
      <c r="C171" s="195"/>
      <c r="D171" s="195"/>
      <c r="E171" s="195"/>
      <c r="F171" s="196"/>
      <c r="G171" s="196"/>
      <c r="H171" s="196"/>
      <c r="I171" s="197"/>
      <c r="J171" s="197"/>
      <c r="K171" s="197"/>
      <c r="O171" s="196"/>
      <c r="P171" s="196"/>
      <c r="Q171" s="196"/>
    </row>
    <row r="172" s="99" customFormat="1" spans="1:17">
      <c r="A172" s="4"/>
      <c r="B172" s="4"/>
      <c r="C172" s="195"/>
      <c r="D172" s="195"/>
      <c r="E172" s="195"/>
      <c r="F172" s="196"/>
      <c r="G172" s="196"/>
      <c r="H172" s="196"/>
      <c r="I172" s="197"/>
      <c r="J172" s="197"/>
      <c r="K172" s="197"/>
      <c r="O172" s="196"/>
      <c r="P172" s="196"/>
      <c r="Q172" s="196"/>
    </row>
    <row r="173" s="99" customFormat="1" spans="1:17">
      <c r="A173" s="4"/>
      <c r="B173" s="4"/>
      <c r="C173" s="195"/>
      <c r="D173" s="195"/>
      <c r="E173" s="195"/>
      <c r="F173" s="196"/>
      <c r="G173" s="196"/>
      <c r="H173" s="196"/>
      <c r="I173" s="197"/>
      <c r="J173" s="197"/>
      <c r="K173" s="197"/>
      <c r="O173" s="196"/>
      <c r="P173" s="196"/>
      <c r="Q173" s="196"/>
    </row>
    <row r="174" s="99" customFormat="1" spans="1:17">
      <c r="A174" s="4"/>
      <c r="B174" s="4"/>
      <c r="C174" s="195"/>
      <c r="D174" s="195"/>
      <c r="E174" s="195"/>
      <c r="F174" s="196"/>
      <c r="G174" s="196"/>
      <c r="H174" s="196"/>
      <c r="I174" s="197"/>
      <c r="J174" s="197"/>
      <c r="K174" s="197"/>
      <c r="O174" s="196"/>
      <c r="P174" s="196"/>
      <c r="Q174" s="196"/>
    </row>
    <row r="175" s="99" customFormat="1" spans="1:17">
      <c r="A175" s="4"/>
      <c r="B175" s="4"/>
      <c r="C175" s="195"/>
      <c r="D175" s="195"/>
      <c r="E175" s="195"/>
      <c r="F175" s="196"/>
      <c r="G175" s="196"/>
      <c r="H175" s="196"/>
      <c r="I175" s="197"/>
      <c r="J175" s="197"/>
      <c r="K175" s="197"/>
      <c r="O175" s="196"/>
      <c r="P175" s="196"/>
      <c r="Q175" s="196"/>
    </row>
    <row r="176" s="99" customFormat="1" spans="1:17">
      <c r="A176" s="4"/>
      <c r="B176" s="4"/>
      <c r="C176" s="195"/>
      <c r="D176" s="195"/>
      <c r="E176" s="195"/>
      <c r="F176" s="196"/>
      <c r="G176" s="196"/>
      <c r="H176" s="196"/>
      <c r="I176" s="197"/>
      <c r="J176" s="197"/>
      <c r="K176" s="197"/>
      <c r="O176" s="196"/>
      <c r="P176" s="196"/>
      <c r="Q176" s="196"/>
    </row>
    <row r="177" s="99" customFormat="1" spans="1:17">
      <c r="A177" s="4"/>
      <c r="B177" s="4"/>
      <c r="C177" s="195"/>
      <c r="D177" s="195"/>
      <c r="E177" s="195"/>
      <c r="F177" s="196"/>
      <c r="G177" s="196"/>
      <c r="H177" s="196"/>
      <c r="I177" s="197"/>
      <c r="J177" s="197"/>
      <c r="K177" s="197"/>
      <c r="O177" s="196"/>
      <c r="P177" s="196"/>
      <c r="Q177" s="196"/>
    </row>
    <row r="178" s="99" customFormat="1" spans="1:17">
      <c r="A178" s="4"/>
      <c r="B178" s="4"/>
      <c r="C178" s="195"/>
      <c r="D178" s="195"/>
      <c r="E178" s="195"/>
      <c r="F178" s="196"/>
      <c r="G178" s="196"/>
      <c r="H178" s="196"/>
      <c r="I178" s="197"/>
      <c r="J178" s="197"/>
      <c r="K178" s="197"/>
      <c r="O178" s="196"/>
      <c r="P178" s="196"/>
      <c r="Q178" s="196"/>
    </row>
    <row r="179" s="99" customFormat="1" spans="1:17">
      <c r="A179" s="4"/>
      <c r="B179" s="4"/>
      <c r="C179" s="195"/>
      <c r="D179" s="195"/>
      <c r="E179" s="195"/>
      <c r="F179" s="196"/>
      <c r="G179" s="196"/>
      <c r="H179" s="196"/>
      <c r="I179" s="197"/>
      <c r="J179" s="197"/>
      <c r="K179" s="197"/>
      <c r="O179" s="196"/>
      <c r="P179" s="196"/>
      <c r="Q179" s="196"/>
    </row>
    <row r="180" s="99" customFormat="1" spans="1:17">
      <c r="A180" s="4"/>
      <c r="B180" s="4"/>
      <c r="C180" s="195"/>
      <c r="D180" s="195"/>
      <c r="E180" s="195"/>
      <c r="F180" s="196"/>
      <c r="G180" s="196"/>
      <c r="H180" s="196"/>
      <c r="I180" s="197"/>
      <c r="J180" s="197"/>
      <c r="K180" s="197"/>
      <c r="O180" s="196"/>
      <c r="P180" s="196"/>
      <c r="Q180" s="196"/>
    </row>
    <row r="181" s="99" customFormat="1" spans="1:17">
      <c r="A181" s="4"/>
      <c r="B181" s="4"/>
      <c r="C181" s="195"/>
      <c r="D181" s="195"/>
      <c r="E181" s="195"/>
      <c r="F181" s="196"/>
      <c r="G181" s="196"/>
      <c r="H181" s="196"/>
      <c r="I181" s="197"/>
      <c r="J181" s="197"/>
      <c r="K181" s="197"/>
      <c r="O181" s="196"/>
      <c r="P181" s="196"/>
      <c r="Q181" s="196"/>
    </row>
    <row r="182" s="99" customFormat="1" spans="1:17">
      <c r="A182" s="4"/>
      <c r="B182" s="4"/>
      <c r="C182" s="195"/>
      <c r="D182" s="195"/>
      <c r="E182" s="195"/>
      <c r="F182" s="196"/>
      <c r="G182" s="196"/>
      <c r="H182" s="196"/>
      <c r="I182" s="197"/>
      <c r="J182" s="197"/>
      <c r="K182" s="197"/>
      <c r="O182" s="196"/>
      <c r="P182" s="196"/>
      <c r="Q182" s="196"/>
    </row>
    <row r="183" s="99" customFormat="1" spans="1:17">
      <c r="A183" s="4"/>
      <c r="B183" s="4"/>
      <c r="C183" s="195"/>
      <c r="D183" s="195"/>
      <c r="E183" s="195"/>
      <c r="F183" s="196"/>
      <c r="G183" s="196"/>
      <c r="H183" s="196"/>
      <c r="I183" s="197"/>
      <c r="J183" s="197"/>
      <c r="K183" s="197"/>
      <c r="O183" s="196"/>
      <c r="P183" s="196"/>
      <c r="Q183" s="196"/>
    </row>
    <row r="184" s="99" customFormat="1" spans="1:17">
      <c r="A184" s="4"/>
      <c r="B184" s="4"/>
      <c r="C184" s="195"/>
      <c r="D184" s="195"/>
      <c r="E184" s="195"/>
      <c r="F184" s="196"/>
      <c r="G184" s="196"/>
      <c r="H184" s="196"/>
      <c r="I184" s="197"/>
      <c r="J184" s="197"/>
      <c r="K184" s="197"/>
      <c r="O184" s="196"/>
      <c r="P184" s="196"/>
      <c r="Q184" s="196"/>
    </row>
    <row r="185" s="99" customFormat="1" spans="1:17">
      <c r="A185" s="4"/>
      <c r="B185" s="4"/>
      <c r="C185" s="195"/>
      <c r="D185" s="195"/>
      <c r="E185" s="195"/>
      <c r="F185" s="196"/>
      <c r="G185" s="196"/>
      <c r="H185" s="196"/>
      <c r="I185" s="197"/>
      <c r="J185" s="197"/>
      <c r="K185" s="197"/>
      <c r="O185" s="196"/>
      <c r="P185" s="196"/>
      <c r="Q185" s="196"/>
    </row>
    <row r="186" s="99" customFormat="1" spans="1:17">
      <c r="A186" s="4"/>
      <c r="B186" s="4"/>
      <c r="C186" s="195"/>
      <c r="D186" s="195"/>
      <c r="E186" s="195"/>
      <c r="F186" s="196"/>
      <c r="G186" s="196"/>
      <c r="H186" s="196"/>
      <c r="I186" s="197"/>
      <c r="J186" s="197"/>
      <c r="K186" s="197"/>
      <c r="O186" s="196"/>
      <c r="P186" s="196"/>
      <c r="Q186" s="196"/>
    </row>
    <row r="187" s="99" customFormat="1" spans="1:17">
      <c r="A187" s="4"/>
      <c r="B187" s="4"/>
      <c r="C187" s="195"/>
      <c r="D187" s="195"/>
      <c r="E187" s="195"/>
      <c r="F187" s="196"/>
      <c r="G187" s="196"/>
      <c r="H187" s="196"/>
      <c r="I187" s="197"/>
      <c r="J187" s="197"/>
      <c r="K187" s="197"/>
      <c r="O187" s="196"/>
      <c r="P187" s="196"/>
      <c r="Q187" s="196"/>
    </row>
    <row r="188" s="99" customFormat="1" spans="1:17">
      <c r="A188" s="4"/>
      <c r="B188" s="4"/>
      <c r="C188" s="195"/>
      <c r="D188" s="195"/>
      <c r="E188" s="195"/>
      <c r="F188" s="196"/>
      <c r="G188" s="196"/>
      <c r="H188" s="196"/>
      <c r="I188" s="197"/>
      <c r="J188" s="197"/>
      <c r="K188" s="197"/>
      <c r="O188" s="196"/>
      <c r="P188" s="196"/>
      <c r="Q188" s="196"/>
    </row>
    <row r="189" s="99" customFormat="1" spans="1:17">
      <c r="A189" s="4"/>
      <c r="B189" s="4"/>
      <c r="C189" s="195"/>
      <c r="D189" s="195"/>
      <c r="E189" s="195"/>
      <c r="F189" s="196"/>
      <c r="G189" s="196"/>
      <c r="H189" s="196"/>
      <c r="I189" s="197"/>
      <c r="J189" s="197"/>
      <c r="K189" s="197"/>
      <c r="O189" s="196"/>
      <c r="P189" s="196"/>
      <c r="Q189" s="196"/>
    </row>
    <row r="190" s="99" customFormat="1" spans="1:17">
      <c r="A190" s="4"/>
      <c r="B190" s="4"/>
      <c r="C190" s="195"/>
      <c r="D190" s="195"/>
      <c r="E190" s="195"/>
      <c r="F190" s="196"/>
      <c r="G190" s="196"/>
      <c r="H190" s="196"/>
      <c r="I190" s="197"/>
      <c r="J190" s="197"/>
      <c r="K190" s="197"/>
      <c r="O190" s="196"/>
      <c r="P190" s="196"/>
      <c r="Q190" s="196"/>
    </row>
    <row r="191" s="99" customFormat="1" spans="1:17">
      <c r="A191" s="4"/>
      <c r="B191" s="4"/>
      <c r="C191" s="195"/>
      <c r="D191" s="195"/>
      <c r="E191" s="195"/>
      <c r="F191" s="196"/>
      <c r="G191" s="196"/>
      <c r="H191" s="196"/>
      <c r="I191" s="197"/>
      <c r="J191" s="197"/>
      <c r="K191" s="197"/>
      <c r="O191" s="196"/>
      <c r="P191" s="196"/>
      <c r="Q191" s="196"/>
    </row>
    <row r="192" s="99" customFormat="1" spans="1:17">
      <c r="A192" s="4"/>
      <c r="B192" s="4"/>
      <c r="C192" s="195"/>
      <c r="D192" s="195"/>
      <c r="E192" s="195"/>
      <c r="F192" s="196"/>
      <c r="G192" s="196"/>
      <c r="H192" s="196"/>
      <c r="I192" s="197"/>
      <c r="J192" s="197"/>
      <c r="K192" s="197"/>
      <c r="O192" s="196"/>
      <c r="P192" s="196"/>
      <c r="Q192" s="196"/>
    </row>
    <row r="193" s="99" customFormat="1" spans="1:17">
      <c r="A193" s="4"/>
      <c r="B193" s="4"/>
      <c r="C193" s="195"/>
      <c r="D193" s="195"/>
      <c r="E193" s="195"/>
      <c r="F193" s="196"/>
      <c r="G193" s="196"/>
      <c r="H193" s="196"/>
      <c r="I193" s="197"/>
      <c r="J193" s="197"/>
      <c r="K193" s="197"/>
      <c r="O193" s="196"/>
      <c r="P193" s="196"/>
      <c r="Q193" s="196"/>
    </row>
    <row r="194" s="99" customFormat="1" spans="1:17">
      <c r="A194" s="4"/>
      <c r="B194" s="4"/>
      <c r="C194" s="195"/>
      <c r="D194" s="195"/>
      <c r="E194" s="195"/>
      <c r="F194" s="196"/>
      <c r="G194" s="196"/>
      <c r="H194" s="196"/>
      <c r="I194" s="197"/>
      <c r="J194" s="197"/>
      <c r="K194" s="197"/>
      <c r="O194" s="196"/>
      <c r="P194" s="196"/>
      <c r="Q194" s="196"/>
    </row>
    <row r="195" s="99" customFormat="1" spans="1:17">
      <c r="A195" s="4"/>
      <c r="B195" s="4"/>
      <c r="C195" s="195"/>
      <c r="D195" s="195"/>
      <c r="E195" s="195"/>
      <c r="F195" s="196"/>
      <c r="G195" s="196"/>
      <c r="H195" s="196"/>
      <c r="I195" s="197"/>
      <c r="J195" s="197"/>
      <c r="K195" s="197"/>
      <c r="O195" s="196"/>
      <c r="P195" s="196"/>
      <c r="Q195" s="196"/>
    </row>
    <row r="196" s="99" customFormat="1" spans="1:17">
      <c r="A196" s="4"/>
      <c r="B196" s="4"/>
      <c r="C196" s="195"/>
      <c r="D196" s="195"/>
      <c r="E196" s="195"/>
      <c r="F196" s="196"/>
      <c r="G196" s="196"/>
      <c r="H196" s="196"/>
      <c r="I196" s="197"/>
      <c r="J196" s="197"/>
      <c r="K196" s="197"/>
      <c r="O196" s="196"/>
      <c r="P196" s="196"/>
      <c r="Q196" s="196"/>
    </row>
    <row r="197" s="99" customFormat="1" spans="1:17">
      <c r="A197" s="4"/>
      <c r="B197" s="4"/>
      <c r="C197" s="195"/>
      <c r="D197" s="195"/>
      <c r="E197" s="195"/>
      <c r="F197" s="196"/>
      <c r="G197" s="196"/>
      <c r="H197" s="196"/>
      <c r="I197" s="197"/>
      <c r="J197" s="197"/>
      <c r="K197" s="197"/>
      <c r="O197" s="196"/>
      <c r="P197" s="196"/>
      <c r="Q197" s="196"/>
    </row>
    <row r="198" s="99" customFormat="1" spans="1:17">
      <c r="A198" s="4"/>
      <c r="B198" s="4"/>
      <c r="C198" s="195"/>
      <c r="D198" s="195"/>
      <c r="E198" s="195"/>
      <c r="F198" s="196"/>
      <c r="G198" s="196"/>
      <c r="H198" s="196"/>
      <c r="I198" s="197"/>
      <c r="J198" s="197"/>
      <c r="K198" s="197"/>
      <c r="O198" s="196"/>
      <c r="P198" s="196"/>
      <c r="Q198" s="196"/>
    </row>
    <row r="199" s="99" customFormat="1" spans="1:17">
      <c r="A199" s="4"/>
      <c r="B199" s="4"/>
      <c r="C199" s="195"/>
      <c r="D199" s="195"/>
      <c r="E199" s="195"/>
      <c r="F199" s="196"/>
      <c r="G199" s="196"/>
      <c r="H199" s="196"/>
      <c r="I199" s="197"/>
      <c r="J199" s="197"/>
      <c r="K199" s="197"/>
      <c r="O199" s="196"/>
      <c r="P199" s="196"/>
      <c r="Q199" s="196"/>
    </row>
    <row r="200" s="99" customFormat="1" spans="1:17">
      <c r="A200" s="4"/>
      <c r="B200" s="4"/>
      <c r="C200" s="195"/>
      <c r="D200" s="195"/>
      <c r="E200" s="195"/>
      <c r="F200" s="196"/>
      <c r="G200" s="196"/>
      <c r="H200" s="196"/>
      <c r="I200" s="197"/>
      <c r="J200" s="197"/>
      <c r="K200" s="197"/>
      <c r="O200" s="196"/>
      <c r="P200" s="196"/>
      <c r="Q200" s="196"/>
    </row>
    <row r="201" s="99" customFormat="1" spans="1:17">
      <c r="A201" s="4"/>
      <c r="B201" s="4"/>
      <c r="C201" s="195"/>
      <c r="D201" s="195"/>
      <c r="E201" s="195"/>
      <c r="F201" s="196"/>
      <c r="G201" s="196"/>
      <c r="H201" s="196"/>
      <c r="I201" s="197"/>
      <c r="J201" s="197"/>
      <c r="K201" s="197"/>
      <c r="O201" s="196"/>
      <c r="P201" s="196"/>
      <c r="Q201" s="196"/>
    </row>
    <row r="202" s="99" customFormat="1" spans="1:17">
      <c r="A202" s="4"/>
      <c r="B202" s="4"/>
      <c r="C202" s="195"/>
      <c r="D202" s="195"/>
      <c r="E202" s="195"/>
      <c r="F202" s="196"/>
      <c r="G202" s="196"/>
      <c r="H202" s="196"/>
      <c r="I202" s="197"/>
      <c r="J202" s="197"/>
      <c r="K202" s="197"/>
      <c r="O202" s="196"/>
      <c r="P202" s="196"/>
      <c r="Q202" s="196"/>
    </row>
    <row r="203" s="99" customFormat="1" spans="1:17">
      <c r="A203" s="4"/>
      <c r="B203" s="4"/>
      <c r="C203" s="195"/>
      <c r="D203" s="195"/>
      <c r="E203" s="195"/>
      <c r="F203" s="196"/>
      <c r="G203" s="196"/>
      <c r="H203" s="196"/>
      <c r="I203" s="197"/>
      <c r="J203" s="197"/>
      <c r="K203" s="197"/>
      <c r="O203" s="196"/>
      <c r="P203" s="196"/>
      <c r="Q203" s="196"/>
    </row>
    <row r="204" s="99" customFormat="1" spans="1:17">
      <c r="A204" s="4"/>
      <c r="B204" s="4"/>
      <c r="C204" s="195"/>
      <c r="D204" s="195"/>
      <c r="E204" s="195"/>
      <c r="F204" s="196"/>
      <c r="G204" s="196"/>
      <c r="H204" s="196"/>
      <c r="I204" s="197"/>
      <c r="J204" s="197"/>
      <c r="K204" s="197"/>
      <c r="O204" s="196"/>
      <c r="P204" s="196"/>
      <c r="Q204" s="196"/>
    </row>
    <row r="205" s="99" customFormat="1" spans="1:17">
      <c r="A205" s="4"/>
      <c r="B205" s="4"/>
      <c r="C205" s="195"/>
      <c r="D205" s="195"/>
      <c r="E205" s="195"/>
      <c r="F205" s="196"/>
      <c r="G205" s="196"/>
      <c r="H205" s="196"/>
      <c r="I205" s="197"/>
      <c r="J205" s="197"/>
      <c r="K205" s="197"/>
      <c r="O205" s="196"/>
      <c r="P205" s="196"/>
      <c r="Q205" s="196"/>
    </row>
    <row r="206" s="99" customFormat="1" spans="1:17">
      <c r="A206" s="4"/>
      <c r="B206" s="4"/>
      <c r="C206" s="195"/>
      <c r="D206" s="195"/>
      <c r="E206" s="195"/>
      <c r="F206" s="196"/>
      <c r="G206" s="196"/>
      <c r="H206" s="196"/>
      <c r="I206" s="197"/>
      <c r="J206" s="197"/>
      <c r="K206" s="197"/>
      <c r="O206" s="196"/>
      <c r="P206" s="196"/>
      <c r="Q206" s="196"/>
    </row>
    <row r="207" s="99" customFormat="1" spans="1:17">
      <c r="A207" s="4"/>
      <c r="B207" s="4"/>
      <c r="C207" s="195"/>
      <c r="D207" s="195"/>
      <c r="E207" s="195"/>
      <c r="F207" s="196"/>
      <c r="G207" s="196"/>
      <c r="H207" s="196"/>
      <c r="I207" s="197"/>
      <c r="J207" s="197"/>
      <c r="K207" s="197"/>
      <c r="O207" s="196"/>
      <c r="P207" s="196"/>
      <c r="Q207" s="196"/>
    </row>
    <row r="208" s="99" customFormat="1" spans="1:17">
      <c r="A208" s="4"/>
      <c r="B208" s="4"/>
      <c r="C208" s="195"/>
      <c r="D208" s="195"/>
      <c r="E208" s="195"/>
      <c r="F208" s="196"/>
      <c r="G208" s="196"/>
      <c r="H208" s="196"/>
      <c r="I208" s="197"/>
      <c r="J208" s="197"/>
      <c r="K208" s="197"/>
      <c r="O208" s="196"/>
      <c r="P208" s="196"/>
      <c r="Q208" s="196"/>
    </row>
    <row r="209" s="99" customFormat="1" spans="1:17">
      <c r="A209" s="4"/>
      <c r="B209" s="4"/>
      <c r="C209" s="195"/>
      <c r="D209" s="195"/>
      <c r="E209" s="195"/>
      <c r="F209" s="196"/>
      <c r="G209" s="196"/>
      <c r="H209" s="196"/>
      <c r="I209" s="197"/>
      <c r="J209" s="197"/>
      <c r="K209" s="197"/>
      <c r="O209" s="196"/>
      <c r="P209" s="196"/>
      <c r="Q209" s="196"/>
    </row>
    <row r="210" s="99" customFormat="1" spans="1:17">
      <c r="A210" s="4"/>
      <c r="B210" s="4"/>
      <c r="C210" s="195"/>
      <c r="D210" s="195"/>
      <c r="E210" s="195"/>
      <c r="F210" s="196"/>
      <c r="G210" s="196"/>
      <c r="H210" s="196"/>
      <c r="I210" s="197"/>
      <c r="J210" s="197"/>
      <c r="K210" s="197"/>
      <c r="O210" s="196"/>
      <c r="P210" s="196"/>
      <c r="Q210" s="196"/>
    </row>
    <row r="211" s="99" customFormat="1" spans="1:17">
      <c r="A211" s="4"/>
      <c r="B211" s="4"/>
      <c r="C211" s="195"/>
      <c r="D211" s="195"/>
      <c r="E211" s="195"/>
      <c r="F211" s="196"/>
      <c r="G211" s="196"/>
      <c r="H211" s="196"/>
      <c r="I211" s="197"/>
      <c r="J211" s="197"/>
      <c r="K211" s="197"/>
      <c r="O211" s="196"/>
      <c r="P211" s="196"/>
      <c r="Q211" s="196"/>
    </row>
    <row r="212" s="99" customFormat="1" spans="1:17">
      <c r="A212" s="4"/>
      <c r="B212" s="4"/>
      <c r="C212" s="195"/>
      <c r="D212" s="195"/>
      <c r="E212" s="195"/>
      <c r="F212" s="196"/>
      <c r="G212" s="196"/>
      <c r="H212" s="196"/>
      <c r="I212" s="197"/>
      <c r="J212" s="197"/>
      <c r="K212" s="197"/>
      <c r="O212" s="196"/>
      <c r="P212" s="196"/>
      <c r="Q212" s="196"/>
    </row>
    <row r="213" s="99" customFormat="1" spans="1:17">
      <c r="A213" s="4"/>
      <c r="B213" s="4"/>
      <c r="C213" s="195"/>
      <c r="D213" s="195"/>
      <c r="E213" s="195"/>
      <c r="F213" s="196"/>
      <c r="G213" s="196"/>
      <c r="H213" s="196"/>
      <c r="I213" s="197"/>
      <c r="J213" s="197"/>
      <c r="K213" s="197"/>
      <c r="O213" s="196"/>
      <c r="P213" s="196"/>
      <c r="Q213" s="196"/>
    </row>
    <row r="214" s="99" customFormat="1" spans="1:17">
      <c r="A214" s="4"/>
      <c r="B214" s="4"/>
      <c r="C214" s="195"/>
      <c r="D214" s="195"/>
      <c r="E214" s="195"/>
      <c r="F214" s="196"/>
      <c r="G214" s="196"/>
      <c r="H214" s="196"/>
      <c r="I214" s="197"/>
      <c r="J214" s="197"/>
      <c r="K214" s="197"/>
      <c r="O214" s="196"/>
      <c r="P214" s="196"/>
      <c r="Q214" s="196"/>
    </row>
    <row r="215" s="99" customFormat="1" spans="1:17">
      <c r="A215" s="4"/>
      <c r="B215" s="4"/>
      <c r="C215" s="195"/>
      <c r="D215" s="195"/>
      <c r="E215" s="195"/>
      <c r="F215" s="196"/>
      <c r="G215" s="196"/>
      <c r="H215" s="196"/>
      <c r="I215" s="197"/>
      <c r="J215" s="197"/>
      <c r="K215" s="197"/>
      <c r="O215" s="196"/>
      <c r="P215" s="196"/>
      <c r="Q215" s="196"/>
    </row>
    <row r="216" s="99" customFormat="1" spans="1:17">
      <c r="A216" s="4"/>
      <c r="B216" s="4"/>
      <c r="C216" s="195"/>
      <c r="D216" s="195"/>
      <c r="E216" s="195"/>
      <c r="F216" s="196"/>
      <c r="G216" s="196"/>
      <c r="H216" s="196"/>
      <c r="I216" s="197"/>
      <c r="J216" s="197"/>
      <c r="K216" s="197"/>
      <c r="O216" s="196"/>
      <c r="P216" s="196"/>
      <c r="Q216" s="196"/>
    </row>
    <row r="217" s="99" customFormat="1" spans="1:17">
      <c r="A217" s="4"/>
      <c r="B217" s="4"/>
      <c r="C217" s="195"/>
      <c r="D217" s="195"/>
      <c r="E217" s="195"/>
      <c r="F217" s="196"/>
      <c r="G217" s="196"/>
      <c r="H217" s="196"/>
      <c r="I217" s="197"/>
      <c r="J217" s="197"/>
      <c r="K217" s="197"/>
      <c r="O217" s="196"/>
      <c r="P217" s="196"/>
      <c r="Q217" s="196"/>
    </row>
    <row r="218" s="99" customFormat="1" spans="1:17">
      <c r="A218" s="4"/>
      <c r="B218" s="4"/>
      <c r="C218" s="195"/>
      <c r="D218" s="195"/>
      <c r="E218" s="195"/>
      <c r="F218" s="196"/>
      <c r="G218" s="196"/>
      <c r="H218" s="196"/>
      <c r="I218" s="197"/>
      <c r="J218" s="197"/>
      <c r="K218" s="197"/>
      <c r="O218" s="196"/>
      <c r="P218" s="196"/>
      <c r="Q218" s="196"/>
    </row>
    <row r="219" s="99" customFormat="1" spans="1:17">
      <c r="A219" s="4"/>
      <c r="B219" s="4"/>
      <c r="C219" s="195"/>
      <c r="D219" s="195"/>
      <c r="E219" s="195"/>
      <c r="F219" s="196"/>
      <c r="G219" s="196"/>
      <c r="H219" s="196"/>
      <c r="I219" s="197"/>
      <c r="J219" s="197"/>
      <c r="K219" s="197"/>
      <c r="O219" s="196"/>
      <c r="P219" s="196"/>
      <c r="Q219" s="196"/>
    </row>
    <row r="220" s="99" customFormat="1" spans="1:17">
      <c r="A220" s="4"/>
      <c r="B220" s="4"/>
      <c r="C220" s="195"/>
      <c r="D220" s="195"/>
      <c r="E220" s="195"/>
      <c r="F220" s="196"/>
      <c r="G220" s="196"/>
      <c r="H220" s="196"/>
      <c r="I220" s="197"/>
      <c r="J220" s="197"/>
      <c r="K220" s="197"/>
      <c r="O220" s="196"/>
      <c r="P220" s="196"/>
      <c r="Q220" s="196"/>
    </row>
    <row r="221" s="99" customFormat="1" spans="1:17">
      <c r="A221" s="4"/>
      <c r="B221" s="4"/>
      <c r="C221" s="195"/>
      <c r="D221" s="195"/>
      <c r="E221" s="195"/>
      <c r="F221" s="196"/>
      <c r="G221" s="196"/>
      <c r="H221" s="196"/>
      <c r="I221" s="197"/>
      <c r="J221" s="197"/>
      <c r="K221" s="197"/>
      <c r="O221" s="196"/>
      <c r="P221" s="196"/>
      <c r="Q221" s="196"/>
    </row>
    <row r="222" s="99" customFormat="1" spans="1:17">
      <c r="A222" s="4"/>
      <c r="B222" s="4"/>
      <c r="C222" s="195"/>
      <c r="D222" s="195"/>
      <c r="E222" s="195"/>
      <c r="F222" s="196"/>
      <c r="G222" s="196"/>
      <c r="H222" s="196"/>
      <c r="I222" s="197"/>
      <c r="J222" s="197"/>
      <c r="K222" s="197"/>
      <c r="O222" s="196"/>
      <c r="P222" s="196"/>
      <c r="Q222" s="196"/>
    </row>
    <row r="223" s="99" customFormat="1" spans="1:17">
      <c r="A223" s="4"/>
      <c r="B223" s="4"/>
      <c r="C223" s="195"/>
      <c r="D223" s="195"/>
      <c r="E223" s="195"/>
      <c r="F223" s="196"/>
      <c r="G223" s="196"/>
      <c r="H223" s="196"/>
      <c r="I223" s="197"/>
      <c r="J223" s="197"/>
      <c r="K223" s="197"/>
      <c r="O223" s="196"/>
      <c r="P223" s="196"/>
      <c r="Q223" s="196"/>
    </row>
    <row r="224" s="99" customFormat="1" spans="1:17">
      <c r="A224" s="4"/>
      <c r="B224" s="4"/>
      <c r="C224" s="195"/>
      <c r="D224" s="195"/>
      <c r="E224" s="195"/>
      <c r="F224" s="196"/>
      <c r="G224" s="196"/>
      <c r="H224" s="196"/>
      <c r="I224" s="197"/>
      <c r="J224" s="197"/>
      <c r="K224" s="197"/>
      <c r="O224" s="196"/>
      <c r="P224" s="196"/>
      <c r="Q224" s="196"/>
    </row>
    <row r="225" s="99" customFormat="1" spans="1:17">
      <c r="A225" s="4"/>
      <c r="B225" s="4"/>
      <c r="C225" s="195"/>
      <c r="D225" s="195"/>
      <c r="E225" s="195"/>
      <c r="F225" s="196"/>
      <c r="G225" s="196"/>
      <c r="H225" s="196"/>
      <c r="I225" s="197"/>
      <c r="J225" s="197"/>
      <c r="K225" s="197"/>
      <c r="O225" s="196"/>
      <c r="P225" s="196"/>
      <c r="Q225" s="196"/>
    </row>
    <row r="226" s="99" customFormat="1" spans="1:17">
      <c r="A226" s="4"/>
      <c r="B226" s="4"/>
      <c r="C226" s="195"/>
      <c r="D226" s="195"/>
      <c r="E226" s="195"/>
      <c r="F226" s="196"/>
      <c r="G226" s="196"/>
      <c r="H226" s="196"/>
      <c r="I226" s="197"/>
      <c r="J226" s="197"/>
      <c r="K226" s="197"/>
      <c r="O226" s="196"/>
      <c r="P226" s="196"/>
      <c r="Q226" s="196"/>
    </row>
    <row r="227" s="99" customFormat="1" spans="1:17">
      <c r="A227" s="4"/>
      <c r="B227" s="4"/>
      <c r="C227" s="195"/>
      <c r="D227" s="195"/>
      <c r="E227" s="195"/>
      <c r="F227" s="196"/>
      <c r="G227" s="196"/>
      <c r="H227" s="196"/>
      <c r="I227" s="197"/>
      <c r="J227" s="197"/>
      <c r="K227" s="197"/>
      <c r="O227" s="196"/>
      <c r="P227" s="196"/>
      <c r="Q227" s="196"/>
    </row>
    <row r="228" s="99" customFormat="1" spans="1:17">
      <c r="A228" s="4"/>
      <c r="B228" s="4"/>
      <c r="C228" s="195"/>
      <c r="D228" s="195"/>
      <c r="E228" s="195"/>
      <c r="F228" s="196"/>
      <c r="G228" s="196"/>
      <c r="H228" s="196"/>
      <c r="I228" s="197"/>
      <c r="J228" s="197"/>
      <c r="K228" s="197"/>
      <c r="O228" s="196"/>
      <c r="P228" s="196"/>
      <c r="Q228" s="196"/>
    </row>
    <row r="229" s="99" customFormat="1" spans="1:17">
      <c r="A229" s="4"/>
      <c r="B229" s="4"/>
      <c r="C229" s="195"/>
      <c r="D229" s="195"/>
      <c r="E229" s="195"/>
      <c r="F229" s="196"/>
      <c r="G229" s="196"/>
      <c r="H229" s="196"/>
      <c r="I229" s="197"/>
      <c r="J229" s="197"/>
      <c r="K229" s="197"/>
      <c r="O229" s="196"/>
      <c r="P229" s="196"/>
      <c r="Q229" s="196"/>
    </row>
    <row r="230" s="99" customFormat="1" spans="1:17">
      <c r="A230" s="4"/>
      <c r="B230" s="4"/>
      <c r="C230" s="195"/>
      <c r="D230" s="195"/>
      <c r="E230" s="195"/>
      <c r="F230" s="196"/>
      <c r="G230" s="196"/>
      <c r="H230" s="196"/>
      <c r="I230" s="197"/>
      <c r="J230" s="197"/>
      <c r="K230" s="197"/>
      <c r="O230" s="196"/>
      <c r="P230" s="196"/>
      <c r="Q230" s="196"/>
    </row>
    <row r="231" s="99" customFormat="1" spans="1:17">
      <c r="A231" s="4"/>
      <c r="B231" s="4"/>
      <c r="C231" s="195"/>
      <c r="D231" s="195"/>
      <c r="E231" s="195"/>
      <c r="F231" s="196"/>
      <c r="G231" s="196"/>
      <c r="H231" s="196"/>
      <c r="I231" s="197"/>
      <c r="J231" s="197"/>
      <c r="K231" s="197"/>
      <c r="O231" s="196"/>
      <c r="P231" s="196"/>
      <c r="Q231" s="196"/>
    </row>
    <row r="232" s="99" customFormat="1" spans="1:17">
      <c r="A232" s="4"/>
      <c r="B232" s="4"/>
      <c r="C232" s="195"/>
      <c r="D232" s="195"/>
      <c r="E232" s="195"/>
      <c r="F232" s="196"/>
      <c r="G232" s="196"/>
      <c r="H232" s="196"/>
      <c r="I232" s="197"/>
      <c r="J232" s="197"/>
      <c r="K232" s="197"/>
      <c r="O232" s="196"/>
      <c r="P232" s="196"/>
      <c r="Q232" s="196"/>
    </row>
    <row r="233" s="99" customFormat="1" spans="1:17">
      <c r="A233" s="4"/>
      <c r="B233" s="4"/>
      <c r="C233" s="195"/>
      <c r="D233" s="195"/>
      <c r="E233" s="195"/>
      <c r="F233" s="196"/>
      <c r="G233" s="196"/>
      <c r="H233" s="196"/>
      <c r="I233" s="197"/>
      <c r="J233" s="197"/>
      <c r="K233" s="197"/>
      <c r="O233" s="196"/>
      <c r="P233" s="196"/>
      <c r="Q233" s="196"/>
    </row>
    <row r="234" s="99" customFormat="1" spans="1:17">
      <c r="A234" s="4"/>
      <c r="B234" s="4"/>
      <c r="C234" s="195"/>
      <c r="D234" s="195"/>
      <c r="E234" s="195"/>
      <c r="F234" s="196"/>
      <c r="G234" s="196"/>
      <c r="H234" s="196"/>
      <c r="I234" s="197"/>
      <c r="J234" s="197"/>
      <c r="K234" s="197"/>
      <c r="O234" s="196"/>
      <c r="P234" s="196"/>
      <c r="Q234" s="196"/>
    </row>
    <row r="235" s="99" customFormat="1" spans="1:17">
      <c r="A235" s="4"/>
      <c r="B235" s="4"/>
      <c r="C235" s="195"/>
      <c r="D235" s="195"/>
      <c r="E235" s="195"/>
      <c r="F235" s="196"/>
      <c r="G235" s="196"/>
      <c r="H235" s="196"/>
      <c r="I235" s="197"/>
      <c r="J235" s="197"/>
      <c r="K235" s="197"/>
      <c r="O235" s="196"/>
      <c r="P235" s="196"/>
      <c r="Q235" s="196"/>
    </row>
    <row r="236" s="99" customFormat="1" spans="1:17">
      <c r="A236" s="4"/>
      <c r="B236" s="4"/>
      <c r="C236" s="195"/>
      <c r="D236" s="195"/>
      <c r="E236" s="195"/>
      <c r="F236" s="196"/>
      <c r="G236" s="196"/>
      <c r="H236" s="196"/>
      <c r="I236" s="197"/>
      <c r="J236" s="197"/>
      <c r="K236" s="197"/>
      <c r="O236" s="196"/>
      <c r="P236" s="196"/>
      <c r="Q236" s="196"/>
    </row>
    <row r="237" s="99" customFormat="1" spans="1:17">
      <c r="A237" s="4"/>
      <c r="B237" s="4"/>
      <c r="C237" s="195"/>
      <c r="D237" s="195"/>
      <c r="E237" s="195"/>
      <c r="F237" s="196"/>
      <c r="G237" s="196"/>
      <c r="H237" s="196"/>
      <c r="I237" s="197"/>
      <c r="J237" s="197"/>
      <c r="K237" s="197"/>
      <c r="O237" s="196"/>
      <c r="P237" s="196"/>
      <c r="Q237" s="196"/>
    </row>
    <row r="238" s="99" customFormat="1" spans="1:17">
      <c r="A238" s="4"/>
      <c r="B238" s="4"/>
      <c r="C238" s="195"/>
      <c r="D238" s="195"/>
      <c r="E238" s="195"/>
      <c r="F238" s="196"/>
      <c r="G238" s="196"/>
      <c r="H238" s="196"/>
      <c r="I238" s="197"/>
      <c r="J238" s="197"/>
      <c r="K238" s="197"/>
      <c r="O238" s="196"/>
      <c r="P238" s="196"/>
      <c r="Q238" s="196"/>
    </row>
    <row r="239" s="99" customFormat="1" spans="1:17">
      <c r="A239" s="4"/>
      <c r="B239" s="4"/>
      <c r="C239" s="195"/>
      <c r="D239" s="195"/>
      <c r="E239" s="195"/>
      <c r="F239" s="196"/>
      <c r="G239" s="196"/>
      <c r="H239" s="196"/>
      <c r="I239" s="197"/>
      <c r="J239" s="197"/>
      <c r="K239" s="197"/>
      <c r="O239" s="196"/>
      <c r="P239" s="196"/>
      <c r="Q239" s="196"/>
    </row>
    <row r="240" s="99" customFormat="1" spans="1:17">
      <c r="A240" s="4"/>
      <c r="B240" s="4"/>
      <c r="C240" s="195"/>
      <c r="D240" s="195"/>
      <c r="E240" s="195"/>
      <c r="F240" s="196"/>
      <c r="G240" s="196"/>
      <c r="H240" s="196"/>
      <c r="I240" s="197"/>
      <c r="J240" s="197"/>
      <c r="K240" s="197"/>
      <c r="O240" s="196"/>
      <c r="P240" s="196"/>
      <c r="Q240" s="196"/>
    </row>
    <row r="241" s="99" customFormat="1" spans="1:17">
      <c r="A241" s="4"/>
      <c r="B241" s="4"/>
      <c r="C241" s="195"/>
      <c r="D241" s="195"/>
      <c r="E241" s="195"/>
      <c r="F241" s="196"/>
      <c r="G241" s="196"/>
      <c r="H241" s="196"/>
      <c r="I241" s="197"/>
      <c r="J241" s="197"/>
      <c r="K241" s="197"/>
      <c r="O241" s="196"/>
      <c r="P241" s="196"/>
      <c r="Q241" s="196"/>
    </row>
    <row r="242" s="99" customFormat="1" spans="1:17">
      <c r="A242" s="4"/>
      <c r="B242" s="4"/>
      <c r="C242" s="195"/>
      <c r="D242" s="195"/>
      <c r="E242" s="195"/>
      <c r="F242" s="196"/>
      <c r="G242" s="196"/>
      <c r="H242" s="196"/>
      <c r="I242" s="197"/>
      <c r="J242" s="197"/>
      <c r="K242" s="197"/>
      <c r="O242" s="196"/>
      <c r="P242" s="196"/>
      <c r="Q242" s="196"/>
    </row>
    <row r="243" s="99" customFormat="1" spans="1:17">
      <c r="A243" s="4"/>
      <c r="B243" s="4"/>
      <c r="C243" s="195"/>
      <c r="D243" s="195"/>
      <c r="E243" s="195"/>
      <c r="F243" s="196"/>
      <c r="G243" s="196"/>
      <c r="H243" s="196"/>
      <c r="I243" s="197"/>
      <c r="J243" s="197"/>
      <c r="K243" s="197"/>
      <c r="O243" s="196"/>
      <c r="P243" s="196"/>
      <c r="Q243" s="196"/>
    </row>
    <row r="244" s="99" customFormat="1" spans="1:17">
      <c r="A244" s="4"/>
      <c r="B244" s="4"/>
      <c r="C244" s="195"/>
      <c r="D244" s="195"/>
      <c r="E244" s="195"/>
      <c r="F244" s="196"/>
      <c r="G244" s="196"/>
      <c r="H244" s="196"/>
      <c r="I244" s="197"/>
      <c r="J244" s="197"/>
      <c r="K244" s="197"/>
      <c r="O244" s="196"/>
      <c r="P244" s="196"/>
      <c r="Q244" s="196"/>
    </row>
    <row r="245" s="99" customFormat="1" spans="1:17">
      <c r="A245" s="4"/>
      <c r="B245" s="4"/>
      <c r="C245" s="195"/>
      <c r="D245" s="195"/>
      <c r="E245" s="195"/>
      <c r="F245" s="196"/>
      <c r="G245" s="196"/>
      <c r="H245" s="196"/>
      <c r="I245" s="197"/>
      <c r="J245" s="197"/>
      <c r="K245" s="197"/>
      <c r="O245" s="196"/>
      <c r="P245" s="196"/>
      <c r="Q245" s="196"/>
    </row>
    <row r="246" s="99" customFormat="1" spans="1:17">
      <c r="A246" s="4"/>
      <c r="B246" s="4"/>
      <c r="C246" s="195"/>
      <c r="D246" s="195"/>
      <c r="E246" s="195"/>
      <c r="F246" s="196"/>
      <c r="G246" s="196"/>
      <c r="H246" s="196"/>
      <c r="I246" s="197"/>
      <c r="J246" s="197"/>
      <c r="K246" s="197"/>
      <c r="O246" s="196"/>
      <c r="P246" s="196"/>
      <c r="Q246" s="196"/>
    </row>
    <row r="247" s="99" customFormat="1" spans="1:17">
      <c r="A247" s="4"/>
      <c r="B247" s="4"/>
      <c r="C247" s="195"/>
      <c r="D247" s="195"/>
      <c r="E247" s="195"/>
      <c r="F247" s="196"/>
      <c r="G247" s="196"/>
      <c r="H247" s="196"/>
      <c r="I247" s="197"/>
      <c r="J247" s="197"/>
      <c r="K247" s="197"/>
      <c r="O247" s="196"/>
      <c r="P247" s="196"/>
      <c r="Q247" s="196"/>
    </row>
    <row r="248" s="99" customFormat="1" spans="1:17">
      <c r="A248" s="4"/>
      <c r="B248" s="4"/>
      <c r="C248" s="195"/>
      <c r="D248" s="195"/>
      <c r="E248" s="195"/>
      <c r="F248" s="196"/>
      <c r="G248" s="196"/>
      <c r="H248" s="196"/>
      <c r="I248" s="197"/>
      <c r="J248" s="197"/>
      <c r="K248" s="197"/>
      <c r="O248" s="196"/>
      <c r="P248" s="196"/>
      <c r="Q248" s="196"/>
    </row>
    <row r="249" s="99" customFormat="1" spans="1:17">
      <c r="A249" s="4"/>
      <c r="B249" s="4"/>
      <c r="C249" s="195"/>
      <c r="D249" s="195"/>
      <c r="E249" s="195"/>
      <c r="F249" s="196"/>
      <c r="G249" s="196"/>
      <c r="H249" s="196"/>
      <c r="I249" s="197"/>
      <c r="J249" s="197"/>
      <c r="K249" s="197"/>
      <c r="O249" s="196"/>
      <c r="P249" s="196"/>
      <c r="Q249" s="196"/>
    </row>
    <row r="250" s="99" customFormat="1" spans="1:17">
      <c r="A250" s="4"/>
      <c r="B250" s="4"/>
      <c r="C250" s="195"/>
      <c r="D250" s="195"/>
      <c r="E250" s="195"/>
      <c r="F250" s="196"/>
      <c r="G250" s="196"/>
      <c r="H250" s="196"/>
      <c r="I250" s="197"/>
      <c r="J250" s="197"/>
      <c r="K250" s="197"/>
      <c r="O250" s="196"/>
      <c r="P250" s="196"/>
      <c r="Q250" s="196"/>
    </row>
    <row r="251" s="99" customFormat="1" spans="1:17">
      <c r="A251" s="4"/>
      <c r="B251" s="4"/>
      <c r="C251" s="195"/>
      <c r="D251" s="195"/>
      <c r="E251" s="195"/>
      <c r="F251" s="196"/>
      <c r="G251" s="196"/>
      <c r="H251" s="196"/>
      <c r="I251" s="197"/>
      <c r="J251" s="197"/>
      <c r="K251" s="197"/>
      <c r="O251" s="196"/>
      <c r="P251" s="196"/>
      <c r="Q251" s="196"/>
    </row>
    <row r="252" s="99" customFormat="1" spans="1:17">
      <c r="A252" s="4"/>
      <c r="B252" s="4"/>
      <c r="C252" s="195"/>
      <c r="D252" s="195"/>
      <c r="E252" s="195"/>
      <c r="F252" s="196"/>
      <c r="G252" s="196"/>
      <c r="H252" s="196"/>
      <c r="I252" s="197"/>
      <c r="J252" s="197"/>
      <c r="K252" s="197"/>
      <c r="O252" s="196"/>
      <c r="P252" s="196"/>
      <c r="Q252" s="196"/>
    </row>
    <row r="253" s="99" customFormat="1" spans="1:17">
      <c r="A253" s="4"/>
      <c r="B253" s="4"/>
      <c r="C253" s="195"/>
      <c r="D253" s="195"/>
      <c r="E253" s="195"/>
      <c r="F253" s="196"/>
      <c r="G253" s="196"/>
      <c r="H253" s="196"/>
      <c r="I253" s="197"/>
      <c r="J253" s="197"/>
      <c r="K253" s="197"/>
      <c r="O253" s="196"/>
      <c r="P253" s="196"/>
      <c r="Q253" s="196"/>
    </row>
    <row r="254" s="99" customFormat="1" spans="1:17">
      <c r="A254" s="4"/>
      <c r="B254" s="4"/>
      <c r="C254" s="195"/>
      <c r="D254" s="195"/>
      <c r="E254" s="195"/>
      <c r="F254" s="196"/>
      <c r="G254" s="196"/>
      <c r="H254" s="196"/>
      <c r="I254" s="197"/>
      <c r="J254" s="197"/>
      <c r="K254" s="197"/>
      <c r="O254" s="196"/>
      <c r="P254" s="196"/>
      <c r="Q254" s="196"/>
    </row>
    <row r="255" s="99" customFormat="1" spans="1:17">
      <c r="A255" s="4"/>
      <c r="B255" s="4"/>
      <c r="C255" s="195"/>
      <c r="D255" s="195"/>
      <c r="E255" s="195"/>
      <c r="F255" s="196"/>
      <c r="G255" s="196"/>
      <c r="H255" s="196"/>
      <c r="I255" s="197"/>
      <c r="J255" s="197"/>
      <c r="K255" s="197"/>
      <c r="O255" s="196"/>
      <c r="P255" s="196"/>
      <c r="Q255" s="196"/>
    </row>
    <row r="256" s="99" customFormat="1" spans="1:17">
      <c r="A256" s="4"/>
      <c r="B256" s="4"/>
      <c r="C256" s="195"/>
      <c r="D256" s="195"/>
      <c r="E256" s="195"/>
      <c r="F256" s="196"/>
      <c r="G256" s="196"/>
      <c r="H256" s="196"/>
      <c r="I256" s="197"/>
      <c r="J256" s="197"/>
      <c r="K256" s="197"/>
      <c r="O256" s="196"/>
      <c r="P256" s="196"/>
      <c r="Q256" s="196"/>
    </row>
    <row r="257" s="99" customFormat="1" spans="1:17">
      <c r="A257" s="4"/>
      <c r="B257" s="4"/>
      <c r="C257" s="195"/>
      <c r="D257" s="195"/>
      <c r="E257" s="195"/>
      <c r="F257" s="196"/>
      <c r="G257" s="196"/>
      <c r="H257" s="196"/>
      <c r="I257" s="197"/>
      <c r="J257" s="197"/>
      <c r="K257" s="197"/>
      <c r="O257" s="196"/>
      <c r="P257" s="196"/>
      <c r="Q257" s="196"/>
    </row>
    <row r="258" s="99" customFormat="1" spans="1:17">
      <c r="A258" s="4"/>
      <c r="B258" s="4"/>
      <c r="C258" s="195"/>
      <c r="D258" s="195"/>
      <c r="E258" s="195"/>
      <c r="F258" s="196"/>
      <c r="G258" s="196"/>
      <c r="H258" s="196"/>
      <c r="I258" s="197"/>
      <c r="J258" s="197"/>
      <c r="K258" s="197"/>
      <c r="O258" s="196"/>
      <c r="P258" s="196"/>
      <c r="Q258" s="196"/>
    </row>
    <row r="259" s="99" customFormat="1" spans="1:17">
      <c r="A259" s="4"/>
      <c r="B259" s="4"/>
      <c r="C259" s="195"/>
      <c r="D259" s="195"/>
      <c r="E259" s="195"/>
      <c r="F259" s="196"/>
      <c r="G259" s="196"/>
      <c r="H259" s="196"/>
      <c r="I259" s="197"/>
      <c r="J259" s="197"/>
      <c r="K259" s="197"/>
      <c r="O259" s="196"/>
      <c r="P259" s="196"/>
      <c r="Q259" s="196"/>
    </row>
    <row r="260" s="99" customFormat="1" spans="1:17">
      <c r="A260" s="4"/>
      <c r="B260" s="4"/>
      <c r="C260" s="195"/>
      <c r="D260" s="195"/>
      <c r="E260" s="195"/>
      <c r="F260" s="196"/>
      <c r="G260" s="196"/>
      <c r="H260" s="196"/>
      <c r="I260" s="197"/>
      <c r="J260" s="197"/>
      <c r="K260" s="197"/>
      <c r="O260" s="196"/>
      <c r="P260" s="196"/>
      <c r="Q260" s="196"/>
    </row>
    <row r="261" s="99" customFormat="1" spans="1:17">
      <c r="A261" s="4"/>
      <c r="B261" s="4"/>
      <c r="C261" s="195"/>
      <c r="D261" s="195"/>
      <c r="E261" s="195"/>
      <c r="F261" s="196"/>
      <c r="G261" s="196"/>
      <c r="H261" s="196"/>
      <c r="I261" s="197"/>
      <c r="J261" s="197"/>
      <c r="K261" s="197"/>
      <c r="O261" s="196"/>
      <c r="P261" s="196"/>
      <c r="Q261" s="196"/>
    </row>
    <row r="262" s="99" customFormat="1" spans="1:17">
      <c r="A262" s="4"/>
      <c r="B262" s="4"/>
      <c r="C262" s="195"/>
      <c r="D262" s="195"/>
      <c r="E262" s="195"/>
      <c r="F262" s="196"/>
      <c r="G262" s="196"/>
      <c r="H262" s="196"/>
      <c r="I262" s="197"/>
      <c r="J262" s="197"/>
      <c r="K262" s="197"/>
      <c r="O262" s="196"/>
      <c r="P262" s="196"/>
      <c r="Q262" s="196"/>
    </row>
    <row r="263" s="99" customFormat="1" spans="1:17">
      <c r="A263" s="4"/>
      <c r="B263" s="4"/>
      <c r="C263" s="195"/>
      <c r="D263" s="195"/>
      <c r="E263" s="195"/>
      <c r="F263" s="196"/>
      <c r="G263" s="196"/>
      <c r="H263" s="196"/>
      <c r="I263" s="197"/>
      <c r="J263" s="197"/>
      <c r="K263" s="197"/>
      <c r="O263" s="196"/>
      <c r="P263" s="196"/>
      <c r="Q263" s="196"/>
    </row>
    <row r="264" s="99" customFormat="1" spans="1:17">
      <c r="A264" s="4"/>
      <c r="B264" s="4"/>
      <c r="C264" s="195"/>
      <c r="D264" s="195"/>
      <c r="E264" s="195"/>
      <c r="F264" s="196"/>
      <c r="G264" s="196"/>
      <c r="H264" s="196"/>
      <c r="I264" s="197"/>
      <c r="J264" s="197"/>
      <c r="K264" s="197"/>
      <c r="O264" s="196"/>
      <c r="P264" s="196"/>
      <c r="Q264" s="196"/>
    </row>
    <row r="265" s="99" customFormat="1" spans="1:17">
      <c r="A265" s="4"/>
      <c r="B265" s="4"/>
      <c r="C265" s="195"/>
      <c r="D265" s="195"/>
      <c r="E265" s="195"/>
      <c r="F265" s="196"/>
      <c r="G265" s="196"/>
      <c r="H265" s="196"/>
      <c r="I265" s="197"/>
      <c r="J265" s="197"/>
      <c r="K265" s="197"/>
      <c r="O265" s="196"/>
      <c r="P265" s="196"/>
      <c r="Q265" s="196"/>
    </row>
    <row r="266" s="99" customFormat="1" spans="1:17">
      <c r="A266" s="4"/>
      <c r="B266" s="4"/>
      <c r="C266" s="195"/>
      <c r="D266" s="195"/>
      <c r="E266" s="195"/>
      <c r="F266" s="196"/>
      <c r="G266" s="196"/>
      <c r="H266" s="196"/>
      <c r="I266" s="197"/>
      <c r="J266" s="197"/>
      <c r="K266" s="197"/>
      <c r="O266" s="196"/>
      <c r="P266" s="196"/>
      <c r="Q266" s="196"/>
    </row>
    <row r="267" s="99" customFormat="1" spans="1:17">
      <c r="A267" s="4"/>
      <c r="B267" s="4"/>
      <c r="C267" s="195"/>
      <c r="D267" s="195"/>
      <c r="E267" s="195"/>
      <c r="F267" s="196"/>
      <c r="G267" s="196"/>
      <c r="H267" s="196"/>
      <c r="I267" s="197"/>
      <c r="J267" s="197"/>
      <c r="K267" s="197"/>
      <c r="O267" s="196"/>
      <c r="P267" s="196"/>
      <c r="Q267" s="196"/>
    </row>
    <row r="268" s="99" customFormat="1" spans="1:17">
      <c r="A268" s="4"/>
      <c r="B268" s="4"/>
      <c r="C268" s="195"/>
      <c r="D268" s="195"/>
      <c r="E268" s="195"/>
      <c r="F268" s="196"/>
      <c r="G268" s="196"/>
      <c r="H268" s="196"/>
      <c r="I268" s="197"/>
      <c r="J268" s="197"/>
      <c r="K268" s="197"/>
      <c r="O268" s="196"/>
      <c r="P268" s="196"/>
      <c r="Q268" s="196"/>
    </row>
    <row r="269" s="99" customFormat="1" spans="1:17">
      <c r="A269" s="4"/>
      <c r="B269" s="4"/>
      <c r="C269" s="195"/>
      <c r="D269" s="195"/>
      <c r="E269" s="195"/>
      <c r="F269" s="196"/>
      <c r="G269" s="196"/>
      <c r="H269" s="196"/>
      <c r="I269" s="197"/>
      <c r="J269" s="197"/>
      <c r="K269" s="197"/>
      <c r="O269" s="196"/>
      <c r="P269" s="196"/>
      <c r="Q269" s="196"/>
    </row>
    <row r="270" s="99" customFormat="1" spans="1:17">
      <c r="A270" s="4"/>
      <c r="B270" s="4"/>
      <c r="C270" s="195"/>
      <c r="D270" s="195"/>
      <c r="E270" s="195"/>
      <c r="F270" s="196"/>
      <c r="G270" s="196"/>
      <c r="H270" s="196"/>
      <c r="I270" s="197"/>
      <c r="J270" s="197"/>
      <c r="K270" s="197"/>
      <c r="O270" s="196"/>
      <c r="P270" s="196"/>
      <c r="Q270" s="196"/>
    </row>
    <row r="271" s="99" customFormat="1" spans="1:17">
      <c r="A271" s="4"/>
      <c r="B271" s="4"/>
      <c r="C271" s="195"/>
      <c r="D271" s="195"/>
      <c r="E271" s="195"/>
      <c r="F271" s="196"/>
      <c r="G271" s="196"/>
      <c r="H271" s="196"/>
      <c r="I271" s="197"/>
      <c r="J271" s="197"/>
      <c r="K271" s="197"/>
      <c r="O271" s="196"/>
      <c r="P271" s="196"/>
      <c r="Q271" s="196"/>
    </row>
    <row r="272" s="99" customFormat="1" spans="1:17">
      <c r="A272" s="4"/>
      <c r="B272" s="4"/>
      <c r="C272" s="195"/>
      <c r="D272" s="195"/>
      <c r="E272" s="195"/>
      <c r="F272" s="196"/>
      <c r="G272" s="196"/>
      <c r="H272" s="196"/>
      <c r="I272" s="197"/>
      <c r="J272" s="197"/>
      <c r="K272" s="197"/>
      <c r="O272" s="196"/>
      <c r="P272" s="196"/>
      <c r="Q272" s="196"/>
    </row>
    <row r="273" s="99" customFormat="1" spans="1:17">
      <c r="A273" s="4"/>
      <c r="B273" s="4"/>
      <c r="C273" s="195"/>
      <c r="D273" s="195"/>
      <c r="E273" s="195"/>
      <c r="F273" s="196"/>
      <c r="G273" s="196"/>
      <c r="H273" s="196"/>
      <c r="I273" s="197"/>
      <c r="J273" s="197"/>
      <c r="K273" s="197"/>
      <c r="O273" s="196"/>
      <c r="P273" s="196"/>
      <c r="Q273" s="196"/>
    </row>
    <row r="274" s="99" customFormat="1" spans="1:17">
      <c r="A274" s="4"/>
      <c r="B274" s="4"/>
      <c r="C274" s="195"/>
      <c r="D274" s="195"/>
      <c r="E274" s="195"/>
      <c r="F274" s="196"/>
      <c r="G274" s="196"/>
      <c r="H274" s="196"/>
      <c r="I274" s="197"/>
      <c r="J274" s="197"/>
      <c r="K274" s="197"/>
      <c r="O274" s="196"/>
      <c r="P274" s="196"/>
      <c r="Q274" s="196"/>
    </row>
    <row r="275" s="99" customFormat="1" spans="1:17">
      <c r="A275" s="4"/>
      <c r="B275" s="4"/>
      <c r="C275" s="195"/>
      <c r="D275" s="195"/>
      <c r="E275" s="195"/>
      <c r="F275" s="196"/>
      <c r="G275" s="196"/>
      <c r="H275" s="196"/>
      <c r="I275" s="197"/>
      <c r="J275" s="197"/>
      <c r="K275" s="197"/>
      <c r="O275" s="196"/>
      <c r="P275" s="196"/>
      <c r="Q275" s="196"/>
    </row>
    <row r="276" s="99" customFormat="1" spans="1:17">
      <c r="A276" s="4"/>
      <c r="B276" s="4"/>
      <c r="C276" s="195"/>
      <c r="D276" s="195"/>
      <c r="E276" s="195"/>
      <c r="F276" s="196"/>
      <c r="G276" s="196"/>
      <c r="H276" s="196"/>
      <c r="I276" s="197"/>
      <c r="J276" s="197"/>
      <c r="K276" s="197"/>
      <c r="O276" s="196"/>
      <c r="P276" s="196"/>
      <c r="Q276" s="196"/>
    </row>
    <row r="277" s="99" customFormat="1" spans="1:17">
      <c r="A277" s="4"/>
      <c r="B277" s="4"/>
      <c r="C277" s="195"/>
      <c r="D277" s="195"/>
      <c r="E277" s="195"/>
      <c r="F277" s="196"/>
      <c r="G277" s="196"/>
      <c r="H277" s="196"/>
      <c r="I277" s="197"/>
      <c r="J277" s="197"/>
      <c r="K277" s="197"/>
      <c r="O277" s="196"/>
      <c r="P277" s="196"/>
      <c r="Q277" s="196"/>
    </row>
    <row r="278" s="99" customFormat="1" spans="1:17">
      <c r="A278" s="4"/>
      <c r="B278" s="4"/>
      <c r="C278" s="195"/>
      <c r="D278" s="195"/>
      <c r="E278" s="195"/>
      <c r="F278" s="196"/>
      <c r="G278" s="196"/>
      <c r="H278" s="196"/>
      <c r="I278" s="197"/>
      <c r="J278" s="197"/>
      <c r="K278" s="197"/>
      <c r="O278" s="196"/>
      <c r="P278" s="196"/>
      <c r="Q278" s="196"/>
    </row>
    <row r="279" s="99" customFormat="1" spans="1:17">
      <c r="A279" s="4"/>
      <c r="B279" s="4"/>
      <c r="C279" s="195"/>
      <c r="D279" s="195"/>
      <c r="E279" s="195"/>
      <c r="F279" s="196"/>
      <c r="G279" s="196"/>
      <c r="H279" s="196"/>
      <c r="I279" s="197"/>
      <c r="J279" s="197"/>
      <c r="K279" s="197"/>
      <c r="O279" s="196"/>
      <c r="P279" s="196"/>
      <c r="Q279" s="196"/>
    </row>
    <row r="280" s="99" customFormat="1" spans="1:17">
      <c r="A280" s="4"/>
      <c r="B280" s="4"/>
      <c r="C280" s="195"/>
      <c r="D280" s="195"/>
      <c r="E280" s="195"/>
      <c r="F280" s="196"/>
      <c r="G280" s="196"/>
      <c r="H280" s="196"/>
      <c r="I280" s="197"/>
      <c r="J280" s="197"/>
      <c r="K280" s="197"/>
      <c r="O280" s="196"/>
      <c r="P280" s="196"/>
      <c r="Q280" s="196"/>
    </row>
    <row r="281" s="99" customFormat="1" spans="1:17">
      <c r="A281" s="4"/>
      <c r="B281" s="4"/>
      <c r="C281" s="195"/>
      <c r="D281" s="195"/>
      <c r="E281" s="195"/>
      <c r="F281" s="196"/>
      <c r="G281" s="196"/>
      <c r="H281" s="196"/>
      <c r="I281" s="197"/>
      <c r="J281" s="197"/>
      <c r="K281" s="197"/>
      <c r="O281" s="196"/>
      <c r="P281" s="196"/>
      <c r="Q281" s="196"/>
    </row>
    <row r="282" s="99" customFormat="1" spans="1:17">
      <c r="A282" s="4"/>
      <c r="B282" s="4"/>
      <c r="C282" s="195"/>
      <c r="D282" s="195"/>
      <c r="E282" s="195"/>
      <c r="F282" s="196"/>
      <c r="G282" s="196"/>
      <c r="H282" s="196"/>
      <c r="I282" s="197"/>
      <c r="J282" s="197"/>
      <c r="K282" s="197"/>
      <c r="O282" s="196"/>
      <c r="P282" s="196"/>
      <c r="Q282" s="196"/>
    </row>
    <row r="283" s="99" customFormat="1" spans="1:17">
      <c r="A283" s="4"/>
      <c r="B283" s="4"/>
      <c r="C283" s="195"/>
      <c r="D283" s="195"/>
      <c r="E283" s="195"/>
      <c r="F283" s="196"/>
      <c r="G283" s="196"/>
      <c r="H283" s="196"/>
      <c r="I283" s="197"/>
      <c r="J283" s="197"/>
      <c r="K283" s="197"/>
      <c r="O283" s="196"/>
      <c r="P283" s="196"/>
      <c r="Q283" s="196"/>
    </row>
    <row r="284" s="99" customFormat="1" spans="1:17">
      <c r="A284" s="4"/>
      <c r="B284" s="4"/>
      <c r="C284" s="195"/>
      <c r="D284" s="195"/>
      <c r="E284" s="195"/>
      <c r="F284" s="196"/>
      <c r="G284" s="196"/>
      <c r="H284" s="196"/>
      <c r="I284" s="197"/>
      <c r="J284" s="197"/>
      <c r="K284" s="197"/>
      <c r="O284" s="196"/>
      <c r="P284" s="196"/>
      <c r="Q284" s="196"/>
    </row>
    <row r="285" s="99" customFormat="1" spans="1:17">
      <c r="A285" s="4"/>
      <c r="B285" s="4"/>
      <c r="C285" s="195"/>
      <c r="D285" s="195"/>
      <c r="E285" s="195"/>
      <c r="F285" s="196"/>
      <c r="G285" s="196"/>
      <c r="H285" s="196"/>
      <c r="I285" s="197"/>
      <c r="J285" s="197"/>
      <c r="K285" s="197"/>
      <c r="O285" s="196"/>
      <c r="P285" s="196"/>
      <c r="Q285" s="196"/>
    </row>
    <row r="286" s="99" customFormat="1" spans="1:17">
      <c r="A286" s="4"/>
      <c r="B286" s="4"/>
      <c r="C286" s="195"/>
      <c r="D286" s="195"/>
      <c r="E286" s="195"/>
      <c r="F286" s="196"/>
      <c r="G286" s="196"/>
      <c r="H286" s="196"/>
      <c r="I286" s="197"/>
      <c r="J286" s="197"/>
      <c r="K286" s="197"/>
      <c r="O286" s="196"/>
      <c r="P286" s="196"/>
      <c r="Q286" s="196"/>
    </row>
    <row r="287" s="99" customFormat="1" spans="1:17">
      <c r="A287" s="4"/>
      <c r="B287" s="4"/>
      <c r="C287" s="195"/>
      <c r="D287" s="195"/>
      <c r="E287" s="195"/>
      <c r="F287" s="196"/>
      <c r="G287" s="196"/>
      <c r="H287" s="196"/>
      <c r="I287" s="197"/>
      <c r="J287" s="197"/>
      <c r="K287" s="197"/>
      <c r="O287" s="196"/>
      <c r="P287" s="196"/>
      <c r="Q287" s="196"/>
    </row>
    <row r="288" s="99" customFormat="1" spans="1:17">
      <c r="A288" s="4"/>
      <c r="B288" s="4"/>
      <c r="C288" s="195"/>
      <c r="D288" s="195"/>
      <c r="E288" s="195"/>
      <c r="F288" s="196"/>
      <c r="G288" s="196"/>
      <c r="H288" s="196"/>
      <c r="I288" s="197"/>
      <c r="J288" s="197"/>
      <c r="K288" s="197"/>
      <c r="O288" s="196"/>
      <c r="P288" s="196"/>
      <c r="Q288" s="196"/>
    </row>
    <row r="289" s="99" customFormat="1" spans="1:17">
      <c r="A289" s="4"/>
      <c r="B289" s="4"/>
      <c r="C289" s="195"/>
      <c r="D289" s="195"/>
      <c r="E289" s="195"/>
      <c r="F289" s="196"/>
      <c r="G289" s="196"/>
      <c r="H289" s="196"/>
      <c r="I289" s="197"/>
      <c r="J289" s="197"/>
      <c r="K289" s="197"/>
      <c r="O289" s="196"/>
      <c r="P289" s="196"/>
      <c r="Q289" s="196"/>
    </row>
    <row r="290" s="99" customFormat="1" spans="1:17">
      <c r="A290" s="4"/>
      <c r="B290" s="4"/>
      <c r="C290" s="195"/>
      <c r="D290" s="195"/>
      <c r="E290" s="195"/>
      <c r="F290" s="196"/>
      <c r="G290" s="196"/>
      <c r="H290" s="196"/>
      <c r="I290" s="197"/>
      <c r="J290" s="197"/>
      <c r="K290" s="197"/>
      <c r="O290" s="196"/>
      <c r="P290" s="196"/>
      <c r="Q290" s="196"/>
    </row>
    <row r="291" s="99" customFormat="1" spans="1:17">
      <c r="A291" s="4"/>
      <c r="B291" s="4"/>
      <c r="C291" s="195"/>
      <c r="D291" s="195"/>
      <c r="E291" s="195"/>
      <c r="F291" s="196"/>
      <c r="G291" s="196"/>
      <c r="H291" s="196"/>
      <c r="I291" s="197"/>
      <c r="J291" s="197"/>
      <c r="K291" s="197"/>
      <c r="O291" s="196"/>
      <c r="P291" s="196"/>
      <c r="Q291" s="196"/>
    </row>
    <row r="292" s="99" customFormat="1" spans="1:17">
      <c r="A292" s="4"/>
      <c r="B292" s="4"/>
      <c r="C292" s="195"/>
      <c r="D292" s="195"/>
      <c r="E292" s="195"/>
      <c r="F292" s="196"/>
      <c r="G292" s="196"/>
      <c r="H292" s="196"/>
      <c r="I292" s="197"/>
      <c r="J292" s="197"/>
      <c r="K292" s="197"/>
      <c r="O292" s="196"/>
      <c r="P292" s="196"/>
      <c r="Q292" s="196"/>
    </row>
    <row r="293" s="99" customFormat="1" spans="1:17">
      <c r="A293" s="4"/>
      <c r="B293" s="4"/>
      <c r="C293" s="195"/>
      <c r="D293" s="195"/>
      <c r="E293" s="195"/>
      <c r="F293" s="196"/>
      <c r="G293" s="196"/>
      <c r="H293" s="196"/>
      <c r="I293" s="197"/>
      <c r="J293" s="197"/>
      <c r="K293" s="197"/>
      <c r="O293" s="196"/>
      <c r="P293" s="196"/>
      <c r="Q293" s="196"/>
    </row>
    <row r="294" s="99" customFormat="1" spans="1:17">
      <c r="A294" s="4"/>
      <c r="B294" s="4"/>
      <c r="C294" s="195"/>
      <c r="D294" s="195"/>
      <c r="E294" s="195"/>
      <c r="F294" s="196"/>
      <c r="G294" s="196"/>
      <c r="H294" s="196"/>
      <c r="I294" s="197"/>
      <c r="J294" s="197"/>
      <c r="K294" s="197"/>
      <c r="O294" s="196"/>
      <c r="P294" s="196"/>
      <c r="Q294" s="196"/>
    </row>
    <row r="295" s="99" customFormat="1" spans="1:17">
      <c r="A295" s="4"/>
      <c r="B295" s="4"/>
      <c r="C295" s="195"/>
      <c r="D295" s="195"/>
      <c r="E295" s="195"/>
      <c r="F295" s="196"/>
      <c r="G295" s="196"/>
      <c r="H295" s="196"/>
      <c r="I295" s="197"/>
      <c r="J295" s="197"/>
      <c r="K295" s="197"/>
      <c r="O295" s="196"/>
      <c r="P295" s="196"/>
      <c r="Q295" s="196"/>
    </row>
    <row r="296" s="99" customFormat="1" spans="1:17">
      <c r="A296" s="4"/>
      <c r="B296" s="4"/>
      <c r="C296" s="195"/>
      <c r="D296" s="195"/>
      <c r="E296" s="195"/>
      <c r="F296" s="196"/>
      <c r="G296" s="196"/>
      <c r="H296" s="196"/>
      <c r="I296" s="197"/>
      <c r="J296" s="197"/>
      <c r="K296" s="197"/>
      <c r="O296" s="196"/>
      <c r="P296" s="196"/>
      <c r="Q296" s="196"/>
    </row>
    <row r="297" s="99" customFormat="1" spans="1:17">
      <c r="A297" s="4"/>
      <c r="B297" s="4"/>
      <c r="C297" s="195"/>
      <c r="D297" s="195"/>
      <c r="E297" s="195"/>
      <c r="F297" s="196"/>
      <c r="G297" s="196"/>
      <c r="H297" s="196"/>
      <c r="I297" s="197"/>
      <c r="J297" s="197"/>
      <c r="K297" s="197"/>
      <c r="O297" s="196"/>
      <c r="P297" s="196"/>
      <c r="Q297" s="196"/>
    </row>
    <row r="298" s="99" customFormat="1" spans="1:17">
      <c r="A298" s="4"/>
      <c r="B298" s="4"/>
      <c r="C298" s="195"/>
      <c r="D298" s="195"/>
      <c r="E298" s="195"/>
      <c r="F298" s="196"/>
      <c r="G298" s="196"/>
      <c r="H298" s="196"/>
      <c r="I298" s="197"/>
      <c r="J298" s="197"/>
      <c r="K298" s="197"/>
      <c r="O298" s="196"/>
      <c r="P298" s="196"/>
      <c r="Q298" s="196"/>
    </row>
    <row r="299" s="99" customFormat="1" spans="1:17">
      <c r="A299" s="4"/>
      <c r="B299" s="4"/>
      <c r="C299" s="195"/>
      <c r="D299" s="195"/>
      <c r="E299" s="195"/>
      <c r="F299" s="196"/>
      <c r="G299" s="196"/>
      <c r="H299" s="196"/>
      <c r="I299" s="197"/>
      <c r="J299" s="197"/>
      <c r="K299" s="197"/>
      <c r="O299" s="196"/>
      <c r="P299" s="196"/>
      <c r="Q299" s="196"/>
    </row>
    <row r="300" s="99" customFormat="1" spans="1:17">
      <c r="A300" s="4"/>
      <c r="B300" s="4"/>
      <c r="C300" s="195"/>
      <c r="D300" s="195"/>
      <c r="E300" s="195"/>
      <c r="F300" s="196"/>
      <c r="G300" s="196"/>
      <c r="H300" s="196"/>
      <c r="I300" s="197"/>
      <c r="J300" s="197"/>
      <c r="K300" s="197"/>
      <c r="O300" s="196"/>
      <c r="P300" s="196"/>
      <c r="Q300" s="196"/>
    </row>
  </sheetData>
  <autoFilter ref="A1:L300">
    <extLst/>
  </autoFilter>
  <mergeCells count="7">
    <mergeCell ref="A1:K1"/>
    <mergeCell ref="C3:E3"/>
    <mergeCell ref="F3:H3"/>
    <mergeCell ref="I3:K3"/>
    <mergeCell ref="O3:Q3"/>
    <mergeCell ref="A3:A4"/>
    <mergeCell ref="B3:B4"/>
  </mergeCells>
  <printOptions horizontalCentered="1"/>
  <pageMargins left="0.393055555555556" right="0.393055555555556" top="0.590277777777778" bottom="0.393055555555556" header="0.5" footer="0.5"/>
  <pageSetup paperSize="9" fitToHeight="0" orientation="landscape"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229"/>
  <sheetViews>
    <sheetView zoomScale="90" zoomScaleNormal="90" workbookViewId="0">
      <selection activeCell="B33" sqref="B33"/>
    </sheetView>
  </sheetViews>
  <sheetFormatPr defaultColWidth="8" defaultRowHeight="15"/>
  <cols>
    <col min="1" max="1" width="8.625" style="194" customWidth="1"/>
    <col min="2" max="2" width="25.625" style="4" customWidth="1"/>
    <col min="3" max="5" width="10.625" style="195" customWidth="1"/>
    <col min="6" max="8" width="10.625" style="196" customWidth="1"/>
    <col min="9" max="11" width="10.625" style="197" customWidth="1"/>
    <col min="12" max="14" width="8" style="99"/>
    <col min="15" max="17" width="10.625" style="196" customWidth="1"/>
    <col min="18" max="16384" width="8" style="99"/>
  </cols>
  <sheetData>
    <row r="1" s="4" customFormat="1" ht="32" customHeight="1" spans="1:17">
      <c r="A1" s="198" t="s">
        <v>1412</v>
      </c>
      <c r="B1" s="198"/>
      <c r="C1" s="198"/>
      <c r="D1" s="198"/>
      <c r="E1" s="198"/>
      <c r="F1" s="198"/>
      <c r="G1" s="198"/>
      <c r="H1" s="198"/>
      <c r="I1" s="218"/>
      <c r="J1" s="218"/>
      <c r="K1" s="218"/>
      <c r="O1" s="198"/>
      <c r="P1" s="198"/>
      <c r="Q1" s="198"/>
    </row>
    <row r="2" s="4" customFormat="1" spans="1:17">
      <c r="A2" s="199"/>
      <c r="B2" s="200"/>
      <c r="C2" s="201"/>
      <c r="D2" s="201"/>
      <c r="E2" s="201"/>
      <c r="F2" s="201"/>
      <c r="G2" s="201"/>
      <c r="H2" s="201"/>
      <c r="I2" s="219"/>
      <c r="J2" s="219"/>
      <c r="K2" s="219"/>
      <c r="O2" s="201"/>
      <c r="P2" s="201"/>
      <c r="Q2" s="201"/>
    </row>
    <row r="3" s="193" customFormat="1" ht="21.75" customHeight="1" spans="1:17">
      <c r="A3" s="202" t="s">
        <v>1272</v>
      </c>
      <c r="B3" s="202" t="s">
        <v>861</v>
      </c>
      <c r="C3" s="203" t="s">
        <v>1273</v>
      </c>
      <c r="D3" s="203"/>
      <c r="E3" s="203"/>
      <c r="F3" s="204" t="s">
        <v>387</v>
      </c>
      <c r="G3" s="205"/>
      <c r="H3" s="206"/>
      <c r="I3" s="220" t="s">
        <v>1274</v>
      </c>
      <c r="J3" s="221"/>
      <c r="K3" s="222"/>
      <c r="O3" s="204" t="s">
        <v>389</v>
      </c>
      <c r="P3" s="205"/>
      <c r="Q3" s="206"/>
    </row>
    <row r="4" s="193" customFormat="1" ht="21.75" customHeight="1" spans="1:17">
      <c r="A4" s="202"/>
      <c r="B4" s="207"/>
      <c r="C4" s="208" t="s">
        <v>390</v>
      </c>
      <c r="D4" s="208" t="s">
        <v>385</v>
      </c>
      <c r="E4" s="208" t="s">
        <v>386</v>
      </c>
      <c r="F4" s="208" t="s">
        <v>390</v>
      </c>
      <c r="G4" s="208" t="s">
        <v>385</v>
      </c>
      <c r="H4" s="208" t="s">
        <v>386</v>
      </c>
      <c r="I4" s="208" t="s">
        <v>390</v>
      </c>
      <c r="J4" s="208" t="s">
        <v>385</v>
      </c>
      <c r="K4" s="208" t="s">
        <v>386</v>
      </c>
      <c r="O4" s="208" t="s">
        <v>390</v>
      </c>
      <c r="P4" s="208" t="s">
        <v>385</v>
      </c>
      <c r="Q4" s="208" t="s">
        <v>386</v>
      </c>
    </row>
    <row r="5" s="4" customFormat="1" ht="21.75" customHeight="1" spans="1:17">
      <c r="A5" s="209">
        <v>1</v>
      </c>
      <c r="B5" s="209">
        <v>2</v>
      </c>
      <c r="C5" s="209"/>
      <c r="D5" s="209"/>
      <c r="E5" s="209"/>
      <c r="F5" s="209"/>
      <c r="G5" s="210"/>
      <c r="H5" s="210"/>
      <c r="I5" s="223"/>
      <c r="J5" s="223"/>
      <c r="K5" s="223"/>
      <c r="O5" s="209"/>
      <c r="P5" s="210"/>
      <c r="Q5" s="210"/>
    </row>
    <row r="6" s="4" customFormat="1" ht="21.75" customHeight="1" spans="1:17">
      <c r="A6" s="211"/>
      <c r="B6" s="212"/>
      <c r="C6" s="213">
        <f t="shared" ref="C6:H6" si="0">SUM(C7:C23)</f>
        <v>25548.645737</v>
      </c>
      <c r="D6" s="213">
        <f t="shared" si="0"/>
        <v>10461.635737</v>
      </c>
      <c r="E6" s="213">
        <f t="shared" si="0"/>
        <v>15087.01</v>
      </c>
      <c r="F6" s="213" t="e">
        <f t="shared" si="0"/>
        <v>#REF!</v>
      </c>
      <c r="G6" s="213" t="e">
        <f t="shared" si="0"/>
        <v>#REF!</v>
      </c>
      <c r="H6" s="213" t="e">
        <f t="shared" si="0"/>
        <v>#REF!</v>
      </c>
      <c r="I6" s="224" t="e">
        <f t="shared" ref="I6:I12" si="1">IF(C6=0,"",F6/C6)</f>
        <v>#REF!</v>
      </c>
      <c r="J6" s="224" t="e">
        <f t="shared" ref="J6:J12" si="2">IF(D6=0,"",G6/D6)</f>
        <v>#REF!</v>
      </c>
      <c r="K6" s="224" t="e">
        <f t="shared" ref="K6:K12" si="3">IF(E6=0,"",H6/E6)</f>
        <v>#REF!</v>
      </c>
      <c r="O6" s="213">
        <f>SUM(O7:O23)</f>
        <v>21382.215737</v>
      </c>
      <c r="P6" s="213">
        <f>SUM(P7:P23)</f>
        <v>10145.635737</v>
      </c>
      <c r="Q6" s="213">
        <f>SUM(Q7:Q23)</f>
        <v>11236.58</v>
      </c>
    </row>
    <row r="7" s="4" customFormat="1" ht="21.75" customHeight="1" spans="1:17">
      <c r="A7" s="214">
        <v>901001</v>
      </c>
      <c r="B7" s="215" t="s">
        <v>1413</v>
      </c>
      <c r="C7" s="216">
        <f t="shared" ref="C7:C12" si="4">SUM(D7:E7)</f>
        <v>872.879189</v>
      </c>
      <c r="D7" s="216">
        <f>SUMIFS('基本支出总表（铁）'!G:G,'基本支出总表（铁）'!B:B,B7)</f>
        <v>825.979189</v>
      </c>
      <c r="E7" s="216">
        <f>SUMIFS('项目支出总表（铁）'!G:G,'项目支出总表（铁）'!B:B,B7)</f>
        <v>46.9</v>
      </c>
      <c r="F7" s="216" t="e">
        <f t="shared" ref="F7:F12" si="5">SUM(G7:H7)</f>
        <v>#REF!</v>
      </c>
      <c r="G7" s="216" t="e">
        <f>SUMIFS('基本支出总表（铁）'!#REF!,'基本支出总表（铁）'!B:B,B7)</f>
        <v>#REF!</v>
      </c>
      <c r="H7" s="216" t="e">
        <f>SUMIFS('项目支出总表（铁）'!#REF!,'项目支出总表（铁）'!B:B,B7)+SUMIFS('项目支出总表（铁）'!#REF!,'项目支出总表（铁）'!B:B,B7)</f>
        <v>#REF!</v>
      </c>
      <c r="I7" s="225" t="e">
        <f t="shared" si="1"/>
        <v>#REF!</v>
      </c>
      <c r="J7" s="225" t="e">
        <f t="shared" si="2"/>
        <v>#REF!</v>
      </c>
      <c r="K7" s="225" t="e">
        <f t="shared" si="3"/>
        <v>#REF!</v>
      </c>
      <c r="O7" s="216">
        <f t="shared" ref="O7:O23" si="6">SUM(P7:Q7)</f>
        <v>891.369189</v>
      </c>
      <c r="P7" s="216">
        <f>SUMIFS('基本支出总表（铁）'!M:M,'基本支出总表（铁）'!B:B,B7)</f>
        <v>825.979189</v>
      </c>
      <c r="Q7" s="216">
        <f>SUMIFS('项目支出总表（铁）'!U:U,'项目支出总表（铁）'!B:B,B7)</f>
        <v>65.39</v>
      </c>
    </row>
    <row r="8" s="4" customFormat="1" ht="21.75" customHeight="1" spans="1:17">
      <c r="A8" s="214">
        <v>902001</v>
      </c>
      <c r="B8" s="215" t="s">
        <v>1414</v>
      </c>
      <c r="C8" s="216">
        <f t="shared" si="4"/>
        <v>738.765097</v>
      </c>
      <c r="D8" s="216">
        <f>SUMIFS('基本支出总表（铁）'!G:G,'基本支出总表（铁）'!B:B,B8)</f>
        <v>694.865097</v>
      </c>
      <c r="E8" s="216">
        <f>SUMIFS('项目支出总表（铁）'!G:G,'项目支出总表（铁）'!B:B,B8)</f>
        <v>43.9</v>
      </c>
      <c r="F8" s="216" t="e">
        <f t="shared" si="5"/>
        <v>#REF!</v>
      </c>
      <c r="G8" s="216" t="e">
        <f>SUMIFS('基本支出总表（铁）'!#REF!,'基本支出总表（铁）'!B:B,B8)</f>
        <v>#REF!</v>
      </c>
      <c r="H8" s="216" t="e">
        <f>SUMIFS('项目支出总表（铁）'!#REF!,'项目支出总表（铁）'!B:B,B8)+SUMIFS('项目支出总表（铁）'!#REF!,'项目支出总表（铁）'!B:B,B8)</f>
        <v>#REF!</v>
      </c>
      <c r="I8" s="225" t="e">
        <f t="shared" si="1"/>
        <v>#REF!</v>
      </c>
      <c r="J8" s="225" t="e">
        <f t="shared" si="2"/>
        <v>#REF!</v>
      </c>
      <c r="K8" s="225" t="e">
        <f t="shared" si="3"/>
        <v>#REF!</v>
      </c>
      <c r="O8" s="216">
        <f t="shared" si="6"/>
        <v>757.525097</v>
      </c>
      <c r="P8" s="216">
        <f>SUMIFS('基本支出总表（铁）'!M:M,'基本支出总表（铁）'!B:B,B8)</f>
        <v>694.865097</v>
      </c>
      <c r="Q8" s="216">
        <f>SUMIFS('项目支出总表（铁）'!U:U,'项目支出总表（铁）'!B:B,B8)</f>
        <v>62.66</v>
      </c>
    </row>
    <row r="9" s="4" customFormat="1" ht="21.75" customHeight="1" spans="1:17">
      <c r="A9" s="214">
        <v>904001</v>
      </c>
      <c r="B9" s="215" t="s">
        <v>1415</v>
      </c>
      <c r="C9" s="216">
        <f t="shared" si="4"/>
        <v>9015.482684</v>
      </c>
      <c r="D9" s="216">
        <f>SUMIFS('基本支出总表（铁）'!G:G,'基本支出总表（铁）'!B:B,B9)</f>
        <v>1100.762684</v>
      </c>
      <c r="E9" s="216">
        <f>SUMIFS('项目支出总表（铁）'!G:G,'项目支出总表（铁）'!B:B,B9)</f>
        <v>7914.72</v>
      </c>
      <c r="F9" s="216" t="e">
        <f t="shared" si="5"/>
        <v>#REF!</v>
      </c>
      <c r="G9" s="216" t="e">
        <f>SUMIFS('基本支出总表（铁）'!#REF!,'基本支出总表（铁）'!B:B,B9)</f>
        <v>#REF!</v>
      </c>
      <c r="H9" s="216" t="e">
        <f>SUMIFS('项目支出总表（铁）'!#REF!,'项目支出总表（铁）'!B:B,B9)+SUMIFS('项目支出总表（铁）'!#REF!,'项目支出总表（铁）'!B:B,B9)</f>
        <v>#REF!</v>
      </c>
      <c r="I9" s="225" t="e">
        <f t="shared" si="1"/>
        <v>#REF!</v>
      </c>
      <c r="J9" s="225" t="e">
        <f t="shared" si="2"/>
        <v>#REF!</v>
      </c>
      <c r="K9" s="225" t="e">
        <f t="shared" si="3"/>
        <v>#REF!</v>
      </c>
      <c r="O9" s="216">
        <f t="shared" si="6"/>
        <v>5737.772684</v>
      </c>
      <c r="P9" s="216">
        <f>SUMIFS('基本支出总表（铁）'!M:M,'基本支出总表（铁）'!B:B,B9)</f>
        <v>1100.762684</v>
      </c>
      <c r="Q9" s="216">
        <f>SUMIFS('项目支出总表（铁）'!U:U,'项目支出总表（铁）'!B:B,B9)</f>
        <v>4637.01</v>
      </c>
    </row>
    <row r="10" s="4" customFormat="1" ht="21.75" customHeight="1" spans="1:17">
      <c r="A10" s="214">
        <v>904002</v>
      </c>
      <c r="B10" s="215" t="s">
        <v>1416</v>
      </c>
      <c r="C10" s="216">
        <f t="shared" si="4"/>
        <v>514.272474</v>
      </c>
      <c r="D10" s="216">
        <f>SUMIFS('基本支出总表（铁）'!G:G,'基本支出总表（铁）'!B:B,B10)</f>
        <v>150.652474</v>
      </c>
      <c r="E10" s="216">
        <f>SUMIFS('项目支出总表（铁）'!G:G,'项目支出总表（铁）'!B:B,B10)</f>
        <v>363.62</v>
      </c>
      <c r="F10" s="216" t="e">
        <f t="shared" si="5"/>
        <v>#REF!</v>
      </c>
      <c r="G10" s="216" t="e">
        <f>SUMIFS('基本支出总表（铁）'!#REF!,'基本支出总表（铁）'!B:B,B10)</f>
        <v>#REF!</v>
      </c>
      <c r="H10" s="216" t="e">
        <f>SUMIFS('项目支出总表（铁）'!#REF!,'项目支出总表（铁）'!B:B,B10)+SUMIFS('项目支出总表（铁）'!#REF!,'项目支出总表（铁）'!B:B,B10)</f>
        <v>#REF!</v>
      </c>
      <c r="I10" s="225" t="e">
        <f t="shared" si="1"/>
        <v>#REF!</v>
      </c>
      <c r="J10" s="225" t="e">
        <f t="shared" si="2"/>
        <v>#REF!</v>
      </c>
      <c r="K10" s="225" t="e">
        <f t="shared" si="3"/>
        <v>#REF!</v>
      </c>
      <c r="O10" s="216">
        <f t="shared" si="6"/>
        <v>532.272474</v>
      </c>
      <c r="P10" s="216">
        <f>SUMIFS('基本支出总表（铁）'!M:M,'基本支出总表（铁）'!B:B,B10)</f>
        <v>168.652474</v>
      </c>
      <c r="Q10" s="216">
        <f>SUMIFS('项目支出总表（铁）'!U:U,'项目支出总表（铁）'!B:B,B10)</f>
        <v>363.62</v>
      </c>
    </row>
    <row r="11" s="4" customFormat="1" ht="21.75" customHeight="1" spans="1:17">
      <c r="A11" s="217">
        <v>904003</v>
      </c>
      <c r="B11" s="164" t="s">
        <v>1417</v>
      </c>
      <c r="C11" s="216">
        <f t="shared" si="4"/>
        <v>106.065594</v>
      </c>
      <c r="D11" s="216">
        <f>SUMIFS('基本支出总表（铁）'!G:G,'基本支出总表（铁）'!B:B,B11)</f>
        <v>106.065594</v>
      </c>
      <c r="E11" s="216">
        <f>SUMIFS('项目支出总表（铁）'!G:G,'项目支出总表（铁）'!B:B,B11)</f>
        <v>0</v>
      </c>
      <c r="F11" s="216" t="e">
        <f t="shared" si="5"/>
        <v>#REF!</v>
      </c>
      <c r="G11" s="216" t="e">
        <f>SUMIFS('基本支出总表（铁）'!#REF!,'基本支出总表（铁）'!B:B,B11)</f>
        <v>#REF!</v>
      </c>
      <c r="H11" s="216" t="e">
        <f>SUMIFS('项目支出总表（铁）'!#REF!,'项目支出总表（铁）'!B:B,B11)+SUMIFS('项目支出总表（铁）'!#REF!,'项目支出总表（铁）'!B:B,B11)</f>
        <v>#REF!</v>
      </c>
      <c r="I11" s="225" t="e">
        <f t="shared" si="1"/>
        <v>#REF!</v>
      </c>
      <c r="J11" s="225" t="e">
        <f t="shared" si="2"/>
        <v>#REF!</v>
      </c>
      <c r="K11" s="225" t="str">
        <f t="shared" si="3"/>
        <v/>
      </c>
      <c r="O11" s="216">
        <f t="shared" si="6"/>
        <v>107.085594</v>
      </c>
      <c r="P11" s="216">
        <f>SUMIFS('基本支出总表（铁）'!M:M,'基本支出总表（铁）'!B:B,B11)</f>
        <v>106.065594</v>
      </c>
      <c r="Q11" s="216">
        <f>SUMIFS('项目支出总表（铁）'!U:U,'项目支出总表（铁）'!B:B,B11)</f>
        <v>1.02</v>
      </c>
    </row>
    <row r="12" s="4" customFormat="1" ht="21.75" customHeight="1" spans="1:17">
      <c r="A12" s="214">
        <v>905002</v>
      </c>
      <c r="B12" s="215" t="s">
        <v>1418</v>
      </c>
      <c r="C12" s="216">
        <f t="shared" si="4"/>
        <v>425.047046</v>
      </c>
      <c r="D12" s="216">
        <f>SUMIFS('基本支出总表（铁）'!G:G,'基本支出总表（铁）'!B:B,B12)</f>
        <v>305.647046</v>
      </c>
      <c r="E12" s="216">
        <f>SUMIFS('项目支出总表（铁）'!G:G,'项目支出总表（铁）'!B:B,B12)</f>
        <v>119.4</v>
      </c>
      <c r="F12" s="216" t="e">
        <f t="shared" si="5"/>
        <v>#REF!</v>
      </c>
      <c r="G12" s="216" t="e">
        <f>SUMIFS('基本支出总表（铁）'!#REF!,'基本支出总表（铁）'!B:B,B12)</f>
        <v>#REF!</v>
      </c>
      <c r="H12" s="216" t="e">
        <f>SUMIFS('项目支出总表（铁）'!#REF!,'项目支出总表（铁）'!B:B,B12)+SUMIFS('项目支出总表（铁）'!#REF!,'项目支出总表（铁）'!B:B,B12)</f>
        <v>#REF!</v>
      </c>
      <c r="I12" s="225" t="e">
        <f t="shared" si="1"/>
        <v>#REF!</v>
      </c>
      <c r="J12" s="225" t="e">
        <f t="shared" si="2"/>
        <v>#REF!</v>
      </c>
      <c r="K12" s="225" t="e">
        <f t="shared" si="3"/>
        <v>#REF!</v>
      </c>
      <c r="O12" s="216">
        <f t="shared" si="6"/>
        <v>982.047046</v>
      </c>
      <c r="P12" s="216">
        <f>SUMIFS('基本支出总表（铁）'!M:M,'基本支出总表（铁）'!B:B,B12)</f>
        <v>313.647046</v>
      </c>
      <c r="Q12" s="216">
        <f>SUMIFS('项目支出总表（铁）'!U:U,'项目支出总表（铁）'!B:B,B12)</f>
        <v>668.4</v>
      </c>
    </row>
    <row r="13" s="4" customFormat="1" ht="21.75" customHeight="1" spans="1:17">
      <c r="A13" s="214">
        <v>906002</v>
      </c>
      <c r="B13" s="215" t="s">
        <v>1419</v>
      </c>
      <c r="C13" s="216">
        <f t="shared" ref="C13:C23" si="7">SUM(D13:E13)</f>
        <v>2884.076019</v>
      </c>
      <c r="D13" s="216">
        <f>SUMIFS('基本支出总表（铁）'!G:G,'基本支出总表（铁）'!B:B,B13)</f>
        <v>2806.046019</v>
      </c>
      <c r="E13" s="216">
        <f>SUMIFS('项目支出总表（铁）'!G:G,'项目支出总表（铁）'!B:B,B13)</f>
        <v>78.03</v>
      </c>
      <c r="F13" s="216" t="e">
        <f t="shared" ref="F13:F23" si="8">SUM(G13:H13)</f>
        <v>#REF!</v>
      </c>
      <c r="G13" s="216" t="e">
        <f>SUMIFS('基本支出总表（铁）'!#REF!,'基本支出总表（铁）'!B:B,B13)</f>
        <v>#REF!</v>
      </c>
      <c r="H13" s="216" t="e">
        <f>SUMIFS('项目支出总表（铁）'!#REF!,'项目支出总表（铁）'!B:B,B13)+SUMIFS('项目支出总表（铁）'!#REF!,'项目支出总表（铁）'!B:B,B13)</f>
        <v>#REF!</v>
      </c>
      <c r="I13" s="225" t="e">
        <f t="shared" ref="I13:I23" si="9">IF(C13=0,"",F13/C13)</f>
        <v>#REF!</v>
      </c>
      <c r="J13" s="225" t="e">
        <f t="shared" ref="J13:J23" si="10">IF(D13=0,"",G13/D13)</f>
        <v>#REF!</v>
      </c>
      <c r="K13" s="225" t="e">
        <f t="shared" ref="K13:K23" si="11">IF(E13=0,"",H13/E13)</f>
        <v>#REF!</v>
      </c>
      <c r="O13" s="216">
        <f t="shared" si="6"/>
        <v>2785.606019</v>
      </c>
      <c r="P13" s="216">
        <f>SUMIFS('基本支出总表（铁）'!M:M,'基本支出总表（铁）'!B:B,B13)</f>
        <v>2696.046019</v>
      </c>
      <c r="Q13" s="216">
        <f>SUMIFS('项目支出总表（铁）'!U:U,'项目支出总表（铁）'!B:B,B13)</f>
        <v>89.56</v>
      </c>
    </row>
    <row r="14" s="4" customFormat="1" ht="21.75" customHeight="1" spans="1:17">
      <c r="A14" s="214">
        <v>906003</v>
      </c>
      <c r="B14" s="215" t="s">
        <v>1420</v>
      </c>
      <c r="C14" s="216">
        <f t="shared" si="7"/>
        <v>384.619977</v>
      </c>
      <c r="D14" s="216">
        <f>SUMIFS('基本支出总表（铁）'!G:G,'基本支出总表（铁）'!B:B,B14)</f>
        <v>371.619977</v>
      </c>
      <c r="E14" s="216">
        <f>SUMIFS('项目支出总表（铁）'!G:G,'项目支出总表（铁）'!B:B,B14)</f>
        <v>13</v>
      </c>
      <c r="F14" s="216" t="e">
        <f t="shared" si="8"/>
        <v>#REF!</v>
      </c>
      <c r="G14" s="216" t="e">
        <f>SUMIFS('基本支出总表（铁）'!#REF!,'基本支出总表（铁）'!B:B,B14)</f>
        <v>#REF!</v>
      </c>
      <c r="H14" s="216" t="e">
        <f>SUMIFS('项目支出总表（铁）'!#REF!,'项目支出总表（铁）'!B:B,B14)+SUMIFS('项目支出总表（铁）'!#REF!,'项目支出总表（铁）'!B:B,B14)</f>
        <v>#REF!</v>
      </c>
      <c r="I14" s="225" t="e">
        <f t="shared" si="9"/>
        <v>#REF!</v>
      </c>
      <c r="J14" s="225" t="e">
        <f t="shared" si="10"/>
        <v>#REF!</v>
      </c>
      <c r="K14" s="225" t="e">
        <f t="shared" si="11"/>
        <v>#REF!</v>
      </c>
      <c r="O14" s="216">
        <f t="shared" si="6"/>
        <v>378.479977</v>
      </c>
      <c r="P14" s="216">
        <f>SUMIFS('基本支出总表（铁）'!M:M,'基本支出总表（铁）'!B:B,B14)</f>
        <v>357.619977</v>
      </c>
      <c r="Q14" s="216">
        <f>SUMIFS('项目支出总表（铁）'!U:U,'项目支出总表（铁）'!B:B,B14)</f>
        <v>20.86</v>
      </c>
    </row>
    <row r="15" s="4" customFormat="1" ht="21.75" customHeight="1" spans="1:17">
      <c r="A15" s="214">
        <v>906004</v>
      </c>
      <c r="B15" s="215" t="s">
        <v>1421</v>
      </c>
      <c r="C15" s="216">
        <f t="shared" si="7"/>
        <v>1935.873034</v>
      </c>
      <c r="D15" s="216">
        <f>SUMIFS('基本支出总表（铁）'!G:G,'基本支出总表（铁）'!B:B,B15)</f>
        <v>1886.213034</v>
      </c>
      <c r="E15" s="216">
        <f>SUMIFS('项目支出总表（铁）'!G:G,'项目支出总表（铁）'!B:B,B15)</f>
        <v>49.66</v>
      </c>
      <c r="F15" s="216" t="e">
        <f t="shared" si="8"/>
        <v>#REF!</v>
      </c>
      <c r="G15" s="216" t="e">
        <f>SUMIFS('基本支出总表（铁）'!#REF!,'基本支出总表（铁）'!B:B,B15)</f>
        <v>#REF!</v>
      </c>
      <c r="H15" s="216" t="e">
        <f>SUMIFS('项目支出总表（铁）'!#REF!,'项目支出总表（铁）'!B:B,B15)+SUMIFS('项目支出总表（铁）'!#REF!,'项目支出总表（铁）'!B:B,B15)</f>
        <v>#REF!</v>
      </c>
      <c r="I15" s="225" t="e">
        <f t="shared" si="9"/>
        <v>#REF!</v>
      </c>
      <c r="J15" s="225" t="e">
        <f t="shared" si="10"/>
        <v>#REF!</v>
      </c>
      <c r="K15" s="225" t="e">
        <f t="shared" si="11"/>
        <v>#REF!</v>
      </c>
      <c r="O15" s="216">
        <f t="shared" si="6"/>
        <v>1816.523034</v>
      </c>
      <c r="P15" s="216">
        <f>SUMIFS('基本支出总表（铁）'!M:M,'基本支出总表（铁）'!B:B,B15)</f>
        <v>1763.213034</v>
      </c>
      <c r="Q15" s="216">
        <f>SUMIFS('项目支出总表（铁）'!U:U,'项目支出总表（铁）'!B:B,B15)</f>
        <v>53.31</v>
      </c>
    </row>
    <row r="16" s="4" customFormat="1" ht="21.75" customHeight="1" spans="1:17">
      <c r="A16" s="214">
        <v>906007</v>
      </c>
      <c r="B16" s="215" t="s">
        <v>1422</v>
      </c>
      <c r="C16" s="216">
        <f t="shared" si="7"/>
        <v>2405.374623</v>
      </c>
      <c r="D16" s="216">
        <f>SUMIFS('基本支出总表（铁）'!G:G,'基本支出总表（铁）'!B:B,B16)</f>
        <v>2213.784623</v>
      </c>
      <c r="E16" s="216">
        <f>SUMIFS('项目支出总表（铁）'!G:G,'项目支出总表（铁）'!B:B,B16)</f>
        <v>191.59</v>
      </c>
      <c r="F16" s="216" t="e">
        <f t="shared" si="8"/>
        <v>#REF!</v>
      </c>
      <c r="G16" s="216" t="e">
        <f>SUMIFS('基本支出总表（铁）'!#REF!,'基本支出总表（铁）'!B:B,B16)</f>
        <v>#REF!</v>
      </c>
      <c r="H16" s="216" t="e">
        <f>SUMIFS('项目支出总表（铁）'!#REF!,'项目支出总表（铁）'!B:B,B16)+SUMIFS('项目支出总表（铁）'!#REF!,'项目支出总表（铁）'!B:B,B16)</f>
        <v>#REF!</v>
      </c>
      <c r="I16" s="225" t="e">
        <f t="shared" si="9"/>
        <v>#REF!</v>
      </c>
      <c r="J16" s="225" t="e">
        <f t="shared" si="10"/>
        <v>#REF!</v>
      </c>
      <c r="K16" s="225" t="e">
        <f t="shared" si="11"/>
        <v>#REF!</v>
      </c>
      <c r="O16" s="216">
        <f t="shared" si="6"/>
        <v>2344.594623</v>
      </c>
      <c r="P16" s="216">
        <f>SUMIFS('基本支出总表（铁）'!M:M,'基本支出总表（铁）'!B:B,B16)</f>
        <v>2118.784623</v>
      </c>
      <c r="Q16" s="216">
        <f>SUMIFS('项目支出总表（铁）'!U:U,'项目支出总表（铁）'!B:B,B16)</f>
        <v>225.81</v>
      </c>
    </row>
    <row r="17" s="4" customFormat="1" ht="21.75" customHeight="1" spans="1:17">
      <c r="A17" s="214">
        <v>998002</v>
      </c>
      <c r="B17" s="215" t="s">
        <v>1423</v>
      </c>
      <c r="C17" s="216">
        <f t="shared" si="7"/>
        <v>73</v>
      </c>
      <c r="D17" s="216">
        <f>SUMIFS('基本支出总表（铁）'!G:G,'基本支出总表（铁）'!B:B,B17)</f>
        <v>0</v>
      </c>
      <c r="E17" s="216">
        <f>SUMIFS('项目支出总表（铁）'!G:G,'项目支出总表（铁）'!B:B,B17)</f>
        <v>73</v>
      </c>
      <c r="F17" s="216" t="e">
        <f t="shared" si="8"/>
        <v>#REF!</v>
      </c>
      <c r="G17" s="216" t="e">
        <f>SUMIFS('基本支出总表（铁）'!#REF!,'基本支出总表（铁）'!B:B,B17)</f>
        <v>#REF!</v>
      </c>
      <c r="H17" s="216" t="e">
        <f>SUMIFS('项目支出总表（铁）'!#REF!,'项目支出总表（铁）'!B:B,B17)+SUMIFS('项目支出总表（铁）'!#REF!,'项目支出总表（铁）'!B:B,B17)</f>
        <v>#REF!</v>
      </c>
      <c r="I17" s="225" t="e">
        <f t="shared" si="9"/>
        <v>#REF!</v>
      </c>
      <c r="J17" s="225" t="str">
        <f t="shared" si="10"/>
        <v/>
      </c>
      <c r="K17" s="225" t="e">
        <f t="shared" si="11"/>
        <v>#REF!</v>
      </c>
      <c r="O17" s="216">
        <f t="shared" si="6"/>
        <v>73</v>
      </c>
      <c r="P17" s="216">
        <f>SUMIFS('基本支出总表（铁）'!M:M,'基本支出总表（铁）'!B:B,B17)</f>
        <v>0</v>
      </c>
      <c r="Q17" s="216">
        <f>SUMIFS('项目支出总表（铁）'!U:U,'项目支出总表（铁）'!B:B,B17)</f>
        <v>73</v>
      </c>
    </row>
    <row r="18" s="4" customFormat="1" ht="21.75" customHeight="1" spans="1:17">
      <c r="A18" s="214">
        <v>999003</v>
      </c>
      <c r="B18" s="215" t="s">
        <v>1404</v>
      </c>
      <c r="C18" s="216">
        <f t="shared" si="7"/>
        <v>2003.19</v>
      </c>
      <c r="D18" s="216">
        <f>SUMIFS('基本支出总表（铁）'!G:G,'基本支出总表（铁）'!B:B,B18)</f>
        <v>0</v>
      </c>
      <c r="E18" s="216">
        <f>SUMIFS('项目支出总表（铁）'!G:G,'项目支出总表（铁）'!B:B,B18)</f>
        <v>2003.19</v>
      </c>
      <c r="F18" s="216" t="e">
        <f t="shared" si="8"/>
        <v>#REF!</v>
      </c>
      <c r="G18" s="216" t="e">
        <f>SUMIFS('基本支出总表（铁）'!#REF!,'基本支出总表（铁）'!B:B,B18)</f>
        <v>#REF!</v>
      </c>
      <c r="H18" s="216" t="e">
        <f>SUMIFS('项目支出总表（铁）'!#REF!,'项目支出总表（铁）'!B:B,B18)+SUMIFS('项目支出总表（铁）'!#REF!,'项目支出总表（铁）'!B:B,B18)</f>
        <v>#REF!</v>
      </c>
      <c r="I18" s="225" t="e">
        <f t="shared" si="9"/>
        <v>#REF!</v>
      </c>
      <c r="J18" s="225" t="str">
        <f t="shared" si="10"/>
        <v/>
      </c>
      <c r="K18" s="225" t="e">
        <f t="shared" si="11"/>
        <v>#REF!</v>
      </c>
      <c r="O18" s="216">
        <f t="shared" si="6"/>
        <v>1583.5</v>
      </c>
      <c r="P18" s="216">
        <f>SUMIFS('基本支出总表（铁）'!M:M,'基本支出总表（铁）'!B:B,B18)</f>
        <v>0</v>
      </c>
      <c r="Q18" s="216">
        <f>SUMIFS('项目支出总表（铁）'!U:U,'项目支出总表（铁）'!B:B,B18)</f>
        <v>1583.5</v>
      </c>
    </row>
    <row r="19" s="4" customFormat="1" ht="21.75" customHeight="1" spans="1:17">
      <c r="A19" s="214">
        <v>999005</v>
      </c>
      <c r="B19" s="215" t="s">
        <v>1405</v>
      </c>
      <c r="C19" s="216">
        <f t="shared" si="7"/>
        <v>360</v>
      </c>
      <c r="D19" s="216">
        <f>SUMIFS('基本支出总表（铁）'!G:G,'基本支出总表（铁）'!B:B,B19)</f>
        <v>0</v>
      </c>
      <c r="E19" s="216">
        <f>SUMIFS('项目支出总表（铁）'!G:G,'项目支出总表（铁）'!B:B,B19)</f>
        <v>360</v>
      </c>
      <c r="F19" s="216" t="e">
        <f t="shared" si="8"/>
        <v>#REF!</v>
      </c>
      <c r="G19" s="216" t="e">
        <f>SUMIFS('基本支出总表（铁）'!#REF!,'基本支出总表（铁）'!B:B,B19)</f>
        <v>#REF!</v>
      </c>
      <c r="H19" s="216" t="e">
        <f>SUMIFS('项目支出总表（铁）'!#REF!,'项目支出总表（铁）'!B:B,B19)+SUMIFS('项目支出总表（铁）'!#REF!,'项目支出总表（铁）'!B:B,B19)</f>
        <v>#REF!</v>
      </c>
      <c r="I19" s="225" t="e">
        <f t="shared" si="9"/>
        <v>#REF!</v>
      </c>
      <c r="J19" s="225" t="str">
        <f t="shared" si="10"/>
        <v/>
      </c>
      <c r="K19" s="225" t="e">
        <f t="shared" si="11"/>
        <v>#REF!</v>
      </c>
      <c r="O19" s="216">
        <f t="shared" si="6"/>
        <v>678.24</v>
      </c>
      <c r="P19" s="216">
        <f>SUMIFS('基本支出总表（铁）'!M:M,'基本支出总表（铁）'!B:B,B19)</f>
        <v>0</v>
      </c>
      <c r="Q19" s="216">
        <f>SUMIFS('项目支出总表（铁）'!U:U,'项目支出总表（铁）'!B:B,B19)</f>
        <v>678.24</v>
      </c>
    </row>
    <row r="20" s="4" customFormat="1" ht="21.75" customHeight="1" spans="1:17">
      <c r="A20" s="214">
        <v>999006</v>
      </c>
      <c r="B20" s="215" t="s">
        <v>1424</v>
      </c>
      <c r="C20" s="216">
        <f t="shared" si="7"/>
        <v>0</v>
      </c>
      <c r="D20" s="216">
        <f>SUMIFS('基本支出总表（铁）'!G:G,'基本支出总表（铁）'!B:B,B20)</f>
        <v>0</v>
      </c>
      <c r="E20" s="216">
        <f>SUMIFS('项目支出总表（铁）'!G:G,'项目支出总表（铁）'!B:B,B20)</f>
        <v>0</v>
      </c>
      <c r="F20" s="216" t="e">
        <f t="shared" si="8"/>
        <v>#REF!</v>
      </c>
      <c r="G20" s="216" t="e">
        <f>SUMIFS('基本支出总表（铁）'!#REF!,'基本支出总表（铁）'!B:B,B20)</f>
        <v>#REF!</v>
      </c>
      <c r="H20" s="216" t="e">
        <f>SUMIFS('项目支出总表（铁）'!#REF!,'项目支出总表（铁）'!B:B,B20)+SUMIFS('项目支出总表（铁）'!#REF!,'项目支出总表（铁）'!B:B,B20)</f>
        <v>#REF!</v>
      </c>
      <c r="I20" s="225" t="str">
        <f t="shared" si="9"/>
        <v/>
      </c>
      <c r="J20" s="225" t="str">
        <f t="shared" si="10"/>
        <v/>
      </c>
      <c r="K20" s="225" t="str">
        <f t="shared" si="11"/>
        <v/>
      </c>
      <c r="O20" s="216">
        <f t="shared" si="6"/>
        <v>2</v>
      </c>
      <c r="P20" s="216">
        <f>SUMIFS('基本支出总表（铁）'!M:M,'基本支出总表（铁）'!B:B,B20)</f>
        <v>0</v>
      </c>
      <c r="Q20" s="216">
        <f>SUMIFS('项目支出总表（铁）'!U:U,'项目支出总表（铁）'!B:B,B20)</f>
        <v>2</v>
      </c>
    </row>
    <row r="21" s="4" customFormat="1" ht="21.75" customHeight="1" spans="1:17">
      <c r="A21" s="214">
        <v>999007</v>
      </c>
      <c r="B21" s="215" t="s">
        <v>1407</v>
      </c>
      <c r="C21" s="216">
        <f t="shared" si="7"/>
        <v>2200</v>
      </c>
      <c r="D21" s="216">
        <f>SUMIFS('基本支出总表（铁）'!G:G,'基本支出总表（铁）'!B:B,B21)</f>
        <v>0</v>
      </c>
      <c r="E21" s="216">
        <f>SUMIFS('项目支出总表（铁）'!G:G,'项目支出总表（铁）'!B:B,B21)</f>
        <v>2200</v>
      </c>
      <c r="F21" s="216" t="e">
        <f t="shared" si="8"/>
        <v>#REF!</v>
      </c>
      <c r="G21" s="216" t="e">
        <f>SUMIFS('基本支出总表（铁）'!#REF!,'基本支出总表（铁）'!B:B,B21)</f>
        <v>#REF!</v>
      </c>
      <c r="H21" s="216" t="e">
        <f>SUMIFS('项目支出总表（铁）'!#REF!,'项目支出总表（铁）'!B:B,B21)+SUMIFS('项目支出总表（铁）'!#REF!,'项目支出总表（铁）'!B:B,B21)</f>
        <v>#REF!</v>
      </c>
      <c r="I21" s="225" t="e">
        <f t="shared" si="9"/>
        <v>#REF!</v>
      </c>
      <c r="J21" s="225" t="str">
        <f t="shared" si="10"/>
        <v/>
      </c>
      <c r="K21" s="225" t="e">
        <f t="shared" si="11"/>
        <v>#REF!</v>
      </c>
      <c r="O21" s="216">
        <f t="shared" si="6"/>
        <v>600</v>
      </c>
      <c r="P21" s="216">
        <f>SUMIFS('基本支出总表（铁）'!M:M,'基本支出总表（铁）'!B:B,B21)</f>
        <v>0</v>
      </c>
      <c r="Q21" s="216">
        <f>SUMIFS('项目支出总表（铁）'!U:U,'项目支出总表（铁）'!B:B,B21)</f>
        <v>600</v>
      </c>
    </row>
    <row r="22" s="4" customFormat="1" ht="21.75" customHeight="1" spans="1:17">
      <c r="A22" s="214">
        <v>999009</v>
      </c>
      <c r="B22" s="215" t="s">
        <v>1409</v>
      </c>
      <c r="C22" s="216">
        <f t="shared" si="7"/>
        <v>1592</v>
      </c>
      <c r="D22" s="216">
        <f>SUMIFS('基本支出总表（铁）'!G:G,'基本支出总表（铁）'!B:B,B22)</f>
        <v>0</v>
      </c>
      <c r="E22" s="216">
        <f>SUMIFS('项目支出总表（铁）'!G:G,'项目支出总表（铁）'!B:B,B22)</f>
        <v>1592</v>
      </c>
      <c r="F22" s="216" t="e">
        <f t="shared" si="8"/>
        <v>#REF!</v>
      </c>
      <c r="G22" s="216" t="e">
        <f>SUMIFS('基本支出总表（铁）'!#REF!,'基本支出总表（铁）'!B:B,B22)</f>
        <v>#REF!</v>
      </c>
      <c r="H22" s="216" t="e">
        <f>SUMIFS('项目支出总表（铁）'!#REF!,'项目支出总表（铁）'!B:B,B22)+SUMIFS('项目支出总表（铁）'!#REF!,'项目支出总表（铁）'!B:B,B22)</f>
        <v>#REF!</v>
      </c>
      <c r="I22" s="225" t="e">
        <f t="shared" si="9"/>
        <v>#REF!</v>
      </c>
      <c r="J22" s="225" t="str">
        <f t="shared" si="10"/>
        <v/>
      </c>
      <c r="K22" s="225" t="e">
        <f t="shared" si="11"/>
        <v>#REF!</v>
      </c>
      <c r="O22" s="216">
        <f t="shared" si="6"/>
        <v>2074.2</v>
      </c>
      <c r="P22" s="216">
        <f>SUMIFS('基本支出总表（铁）'!M:M,'基本支出总表（铁）'!B:B,B22)</f>
        <v>0</v>
      </c>
      <c r="Q22" s="216">
        <f>SUMIFS('项目支出总表（铁）'!U:U,'项目支出总表（铁）'!B:B,B22)</f>
        <v>2074.2</v>
      </c>
    </row>
    <row r="23" s="4" customFormat="1" ht="21.75" customHeight="1" spans="1:17">
      <c r="A23" s="214">
        <v>999010</v>
      </c>
      <c r="B23" s="215" t="s">
        <v>1411</v>
      </c>
      <c r="C23" s="216">
        <f t="shared" si="7"/>
        <v>38</v>
      </c>
      <c r="D23" s="216">
        <f>SUMIFS('基本支出总表（铁）'!G:G,'基本支出总表（铁）'!B:B,B23)</f>
        <v>0</v>
      </c>
      <c r="E23" s="216">
        <f>SUMIFS('项目支出总表（铁）'!G:G,'项目支出总表（铁）'!B:B,B23)</f>
        <v>38</v>
      </c>
      <c r="F23" s="216" t="e">
        <f t="shared" si="8"/>
        <v>#REF!</v>
      </c>
      <c r="G23" s="216" t="e">
        <f>SUMIFS('基本支出总表（铁）'!#REF!,'基本支出总表（铁）'!B:B,B23)</f>
        <v>#REF!</v>
      </c>
      <c r="H23" s="216" t="e">
        <f>SUMIFS('项目支出总表（铁）'!#REF!,'项目支出总表（铁）'!B:B,B23)+SUMIFS('项目支出总表（铁）'!#REF!,'项目支出总表（铁）'!B:B,B23)</f>
        <v>#REF!</v>
      </c>
      <c r="I23" s="225" t="e">
        <f t="shared" si="9"/>
        <v>#REF!</v>
      </c>
      <c r="J23" s="225" t="str">
        <f t="shared" si="10"/>
        <v/>
      </c>
      <c r="K23" s="225" t="e">
        <f t="shared" si="11"/>
        <v>#REF!</v>
      </c>
      <c r="O23" s="216">
        <f t="shared" si="6"/>
        <v>38</v>
      </c>
      <c r="P23" s="216">
        <f>SUMIFS('基本支出总表（铁）'!M:M,'基本支出总表（铁）'!B:B,B23)</f>
        <v>0</v>
      </c>
      <c r="Q23" s="216">
        <f>SUMIFS('项目支出总表（铁）'!U:U,'项目支出总表（铁）'!B:B,B23)</f>
        <v>38</v>
      </c>
    </row>
    <row r="24" s="99" customFormat="1" spans="1:17">
      <c r="A24" s="194"/>
      <c r="B24" s="4"/>
      <c r="C24" s="195"/>
      <c r="D24" s="195"/>
      <c r="E24" s="195"/>
      <c r="F24" s="196"/>
      <c r="G24" s="196"/>
      <c r="H24" s="196"/>
      <c r="I24" s="197"/>
      <c r="J24" s="197"/>
      <c r="K24" s="197"/>
      <c r="O24" s="196"/>
      <c r="P24" s="196"/>
      <c r="Q24" s="196"/>
    </row>
    <row r="25" s="99" customFormat="1" spans="1:17">
      <c r="A25" s="194"/>
      <c r="B25" s="4"/>
      <c r="C25" s="195"/>
      <c r="D25" s="195"/>
      <c r="E25" s="195"/>
      <c r="F25" s="196"/>
      <c r="G25" s="196"/>
      <c r="H25" s="196"/>
      <c r="I25" s="197"/>
      <c r="J25" s="197"/>
      <c r="K25" s="197"/>
      <c r="O25" s="196"/>
      <c r="P25" s="196"/>
      <c r="Q25" s="196"/>
    </row>
    <row r="26" s="99" customFormat="1" spans="1:17">
      <c r="A26" s="194"/>
      <c r="B26" s="4"/>
      <c r="C26" s="195"/>
      <c r="D26" s="195"/>
      <c r="E26" s="195"/>
      <c r="F26" s="196"/>
      <c r="G26" s="196"/>
      <c r="H26" s="196"/>
      <c r="I26" s="197"/>
      <c r="J26" s="197"/>
      <c r="K26" s="197"/>
      <c r="O26" s="196"/>
      <c r="P26" s="196"/>
      <c r="Q26" s="196"/>
    </row>
    <row r="27" s="99" customFormat="1" spans="1:17">
      <c r="A27" s="194"/>
      <c r="B27" s="4"/>
      <c r="C27" s="195"/>
      <c r="D27" s="195"/>
      <c r="E27" s="195"/>
      <c r="F27" s="196"/>
      <c r="G27" s="196"/>
      <c r="H27" s="196"/>
      <c r="I27" s="197"/>
      <c r="J27" s="197"/>
      <c r="K27" s="197"/>
      <c r="O27" s="196"/>
      <c r="P27" s="196"/>
      <c r="Q27" s="196"/>
    </row>
    <row r="28" s="99" customFormat="1" spans="1:17">
      <c r="A28" s="194"/>
      <c r="B28" s="4"/>
      <c r="C28" s="195"/>
      <c r="D28" s="195"/>
      <c r="E28" s="195"/>
      <c r="F28" s="196"/>
      <c r="G28" s="196"/>
      <c r="H28" s="196"/>
      <c r="I28" s="197"/>
      <c r="J28" s="197"/>
      <c r="K28" s="197"/>
      <c r="O28" s="196"/>
      <c r="P28" s="196"/>
      <c r="Q28" s="196"/>
    </row>
    <row r="29" s="99" customFormat="1" spans="1:17">
      <c r="A29" s="194"/>
      <c r="B29" s="4"/>
      <c r="C29" s="195"/>
      <c r="D29" s="195"/>
      <c r="E29" s="195"/>
      <c r="F29" s="196"/>
      <c r="G29" s="196"/>
      <c r="H29" s="196"/>
      <c r="I29" s="197"/>
      <c r="J29" s="197"/>
      <c r="K29" s="197"/>
      <c r="O29" s="196"/>
      <c r="P29" s="196"/>
      <c r="Q29" s="196"/>
    </row>
    <row r="30" s="99" customFormat="1" spans="1:17">
      <c r="A30" s="194"/>
      <c r="B30" s="4"/>
      <c r="C30" s="195"/>
      <c r="D30" s="195"/>
      <c r="E30" s="195"/>
      <c r="F30" s="196"/>
      <c r="G30" s="196"/>
      <c r="H30" s="196"/>
      <c r="I30" s="197"/>
      <c r="J30" s="197"/>
      <c r="K30" s="197"/>
      <c r="O30" s="196"/>
      <c r="P30" s="196"/>
      <c r="Q30" s="196"/>
    </row>
    <row r="31" s="99" customFormat="1" spans="1:17">
      <c r="A31" s="194"/>
      <c r="B31" s="4"/>
      <c r="C31" s="195"/>
      <c r="D31" s="195"/>
      <c r="E31" s="195"/>
      <c r="F31" s="196"/>
      <c r="G31" s="196"/>
      <c r="H31" s="196"/>
      <c r="I31" s="197"/>
      <c r="J31" s="197"/>
      <c r="K31" s="197"/>
      <c r="O31" s="196"/>
      <c r="P31" s="196"/>
      <c r="Q31" s="196"/>
    </row>
    <row r="32" s="99" customFormat="1" spans="1:17">
      <c r="A32" s="194"/>
      <c r="B32" s="4"/>
      <c r="C32" s="195"/>
      <c r="D32" s="195"/>
      <c r="E32" s="195"/>
      <c r="F32" s="196"/>
      <c r="G32" s="196"/>
      <c r="H32" s="196"/>
      <c r="I32" s="197"/>
      <c r="J32" s="197"/>
      <c r="K32" s="197"/>
      <c r="O32" s="196"/>
      <c r="P32" s="196"/>
      <c r="Q32" s="196"/>
    </row>
    <row r="33" s="99" customFormat="1" spans="1:17">
      <c r="A33" s="194"/>
      <c r="B33" s="4"/>
      <c r="C33" s="195"/>
      <c r="D33" s="195"/>
      <c r="E33" s="195"/>
      <c r="F33" s="196"/>
      <c r="G33" s="196"/>
      <c r="H33" s="196"/>
      <c r="I33" s="197"/>
      <c r="J33" s="197"/>
      <c r="K33" s="197"/>
      <c r="O33" s="196"/>
      <c r="P33" s="196"/>
      <c r="Q33" s="196"/>
    </row>
    <row r="34" s="99" customFormat="1" spans="1:17">
      <c r="A34" s="194"/>
      <c r="B34" s="4"/>
      <c r="C34" s="195"/>
      <c r="D34" s="195"/>
      <c r="E34" s="195"/>
      <c r="F34" s="196"/>
      <c r="G34" s="196"/>
      <c r="H34" s="196"/>
      <c r="I34" s="197"/>
      <c r="J34" s="197"/>
      <c r="K34" s="197"/>
      <c r="O34" s="196"/>
      <c r="P34" s="196"/>
      <c r="Q34" s="196"/>
    </row>
    <row r="35" s="99" customFormat="1" spans="1:17">
      <c r="A35" s="194"/>
      <c r="B35" s="4"/>
      <c r="C35" s="195"/>
      <c r="D35" s="195"/>
      <c r="E35" s="195"/>
      <c r="F35" s="196"/>
      <c r="G35" s="196"/>
      <c r="H35" s="196"/>
      <c r="I35" s="197"/>
      <c r="J35" s="197"/>
      <c r="K35" s="197"/>
      <c r="O35" s="196"/>
      <c r="P35" s="196"/>
      <c r="Q35" s="196"/>
    </row>
    <row r="36" s="99" customFormat="1" spans="1:17">
      <c r="A36" s="194"/>
      <c r="B36" s="4"/>
      <c r="C36" s="195"/>
      <c r="D36" s="195"/>
      <c r="E36" s="195"/>
      <c r="F36" s="196"/>
      <c r="G36" s="196"/>
      <c r="H36" s="196"/>
      <c r="I36" s="197"/>
      <c r="J36" s="197"/>
      <c r="K36" s="197"/>
      <c r="O36" s="196"/>
      <c r="P36" s="196"/>
      <c r="Q36" s="196"/>
    </row>
    <row r="37" s="99" customFormat="1" spans="1:17">
      <c r="A37" s="194"/>
      <c r="B37" s="4"/>
      <c r="C37" s="195"/>
      <c r="D37" s="195"/>
      <c r="E37" s="195"/>
      <c r="F37" s="196"/>
      <c r="G37" s="196"/>
      <c r="H37" s="196"/>
      <c r="I37" s="197"/>
      <c r="J37" s="197"/>
      <c r="K37" s="197"/>
      <c r="O37" s="196"/>
      <c r="P37" s="196"/>
      <c r="Q37" s="196"/>
    </row>
    <row r="38" s="99" customFormat="1" spans="1:17">
      <c r="A38" s="194"/>
      <c r="B38" s="4"/>
      <c r="C38" s="195"/>
      <c r="D38" s="195"/>
      <c r="E38" s="195"/>
      <c r="F38" s="196"/>
      <c r="G38" s="196"/>
      <c r="H38" s="196"/>
      <c r="I38" s="197"/>
      <c r="J38" s="197"/>
      <c r="K38" s="197"/>
      <c r="O38" s="196"/>
      <c r="P38" s="196"/>
      <c r="Q38" s="196"/>
    </row>
    <row r="39" s="99" customFormat="1" spans="1:17">
      <c r="A39" s="194"/>
      <c r="B39" s="4"/>
      <c r="C39" s="195"/>
      <c r="D39" s="195"/>
      <c r="E39" s="195"/>
      <c r="F39" s="196"/>
      <c r="G39" s="196"/>
      <c r="H39" s="196"/>
      <c r="I39" s="197"/>
      <c r="J39" s="197"/>
      <c r="K39" s="197"/>
      <c r="O39" s="196"/>
      <c r="P39" s="196"/>
      <c r="Q39" s="196"/>
    </row>
    <row r="40" s="99" customFormat="1" spans="1:17">
      <c r="A40" s="194"/>
      <c r="B40" s="4"/>
      <c r="C40" s="195"/>
      <c r="D40" s="195"/>
      <c r="E40" s="195"/>
      <c r="F40" s="196"/>
      <c r="G40" s="196"/>
      <c r="H40" s="196"/>
      <c r="I40" s="197"/>
      <c r="J40" s="197"/>
      <c r="K40" s="197"/>
      <c r="O40" s="196"/>
      <c r="P40" s="196"/>
      <c r="Q40" s="196"/>
    </row>
    <row r="41" s="99" customFormat="1" spans="1:17">
      <c r="A41" s="194"/>
      <c r="B41" s="4"/>
      <c r="C41" s="195"/>
      <c r="D41" s="195"/>
      <c r="E41" s="195"/>
      <c r="F41" s="196"/>
      <c r="G41" s="196"/>
      <c r="H41" s="196"/>
      <c r="I41" s="197"/>
      <c r="J41" s="197"/>
      <c r="K41" s="197"/>
      <c r="O41" s="196"/>
      <c r="P41" s="196"/>
      <c r="Q41" s="196"/>
    </row>
    <row r="42" s="99" customFormat="1" spans="1:17">
      <c r="A42" s="194"/>
      <c r="B42" s="4"/>
      <c r="C42" s="195"/>
      <c r="D42" s="195"/>
      <c r="E42" s="195"/>
      <c r="F42" s="196"/>
      <c r="G42" s="196"/>
      <c r="H42" s="196"/>
      <c r="I42" s="197"/>
      <c r="J42" s="197"/>
      <c r="K42" s="197"/>
      <c r="O42" s="196"/>
      <c r="P42" s="196"/>
      <c r="Q42" s="196"/>
    </row>
    <row r="43" s="99" customFormat="1" spans="1:17">
      <c r="A43" s="194"/>
      <c r="B43" s="4"/>
      <c r="C43" s="195"/>
      <c r="D43" s="195"/>
      <c r="E43" s="195"/>
      <c r="F43" s="196"/>
      <c r="G43" s="196"/>
      <c r="H43" s="196"/>
      <c r="I43" s="197"/>
      <c r="J43" s="197"/>
      <c r="K43" s="197"/>
      <c r="O43" s="196"/>
      <c r="P43" s="196"/>
      <c r="Q43" s="196"/>
    </row>
    <row r="44" s="99" customFormat="1" spans="1:17">
      <c r="A44" s="194"/>
      <c r="B44" s="4"/>
      <c r="C44" s="195"/>
      <c r="D44" s="195"/>
      <c r="E44" s="195"/>
      <c r="F44" s="196"/>
      <c r="G44" s="196"/>
      <c r="H44" s="196"/>
      <c r="I44" s="197"/>
      <c r="J44" s="197"/>
      <c r="K44" s="197"/>
      <c r="O44" s="196"/>
      <c r="P44" s="196"/>
      <c r="Q44" s="196"/>
    </row>
    <row r="45" s="99" customFormat="1" spans="1:17">
      <c r="A45" s="194"/>
      <c r="B45" s="4"/>
      <c r="C45" s="195"/>
      <c r="D45" s="195"/>
      <c r="E45" s="195"/>
      <c r="F45" s="196"/>
      <c r="G45" s="196"/>
      <c r="H45" s="196"/>
      <c r="I45" s="197"/>
      <c r="J45" s="197"/>
      <c r="K45" s="197"/>
      <c r="O45" s="196"/>
      <c r="P45" s="196"/>
      <c r="Q45" s="196"/>
    </row>
    <row r="46" s="99" customFormat="1" spans="1:17">
      <c r="A46" s="194"/>
      <c r="B46" s="4"/>
      <c r="C46" s="195"/>
      <c r="D46" s="195"/>
      <c r="E46" s="195"/>
      <c r="F46" s="196"/>
      <c r="G46" s="196"/>
      <c r="H46" s="196"/>
      <c r="I46" s="197"/>
      <c r="J46" s="197"/>
      <c r="K46" s="197"/>
      <c r="O46" s="196"/>
      <c r="P46" s="196"/>
      <c r="Q46" s="196"/>
    </row>
    <row r="47" s="99" customFormat="1" spans="1:17">
      <c r="A47" s="194"/>
      <c r="B47" s="4"/>
      <c r="C47" s="195"/>
      <c r="D47" s="195"/>
      <c r="E47" s="195"/>
      <c r="F47" s="196"/>
      <c r="G47" s="196"/>
      <c r="H47" s="196"/>
      <c r="I47" s="197"/>
      <c r="J47" s="197"/>
      <c r="K47" s="197"/>
      <c r="O47" s="196"/>
      <c r="P47" s="196"/>
      <c r="Q47" s="196"/>
    </row>
    <row r="48" s="99" customFormat="1" spans="1:17">
      <c r="A48" s="194"/>
      <c r="B48" s="4"/>
      <c r="C48" s="195"/>
      <c r="D48" s="195"/>
      <c r="E48" s="195"/>
      <c r="F48" s="196"/>
      <c r="G48" s="196"/>
      <c r="H48" s="196"/>
      <c r="I48" s="197"/>
      <c r="J48" s="197"/>
      <c r="K48" s="197"/>
      <c r="O48" s="196"/>
      <c r="P48" s="196"/>
      <c r="Q48" s="196"/>
    </row>
    <row r="49" s="99" customFormat="1" spans="1:17">
      <c r="A49" s="194"/>
      <c r="B49" s="4"/>
      <c r="C49" s="195"/>
      <c r="D49" s="195"/>
      <c r="E49" s="195"/>
      <c r="F49" s="196"/>
      <c r="G49" s="196"/>
      <c r="H49" s="196"/>
      <c r="I49" s="197"/>
      <c r="J49" s="197"/>
      <c r="K49" s="197"/>
      <c r="O49" s="196"/>
      <c r="P49" s="196"/>
      <c r="Q49" s="196"/>
    </row>
    <row r="50" s="99" customFormat="1" spans="1:17">
      <c r="A50" s="194"/>
      <c r="B50" s="4"/>
      <c r="C50" s="195"/>
      <c r="D50" s="195"/>
      <c r="E50" s="195"/>
      <c r="F50" s="196"/>
      <c r="G50" s="196"/>
      <c r="H50" s="196"/>
      <c r="I50" s="197"/>
      <c r="J50" s="197"/>
      <c r="K50" s="197"/>
      <c r="O50" s="196"/>
      <c r="P50" s="196"/>
      <c r="Q50" s="196"/>
    </row>
    <row r="51" s="99" customFormat="1" spans="1:17">
      <c r="A51" s="194"/>
      <c r="B51" s="4"/>
      <c r="C51" s="195"/>
      <c r="D51" s="195"/>
      <c r="E51" s="195"/>
      <c r="F51" s="196"/>
      <c r="G51" s="196"/>
      <c r="H51" s="196"/>
      <c r="I51" s="197"/>
      <c r="J51" s="197"/>
      <c r="K51" s="197"/>
      <c r="O51" s="196"/>
      <c r="P51" s="196"/>
      <c r="Q51" s="196"/>
    </row>
    <row r="52" s="99" customFormat="1" spans="1:17">
      <c r="A52" s="194"/>
      <c r="B52" s="4"/>
      <c r="C52" s="195"/>
      <c r="D52" s="195"/>
      <c r="E52" s="195"/>
      <c r="F52" s="196"/>
      <c r="G52" s="196"/>
      <c r="H52" s="196"/>
      <c r="I52" s="197"/>
      <c r="J52" s="197"/>
      <c r="K52" s="197"/>
      <c r="O52" s="196"/>
      <c r="P52" s="196"/>
      <c r="Q52" s="196"/>
    </row>
    <row r="53" s="99" customFormat="1" spans="1:17">
      <c r="A53" s="194"/>
      <c r="B53" s="4"/>
      <c r="C53" s="195"/>
      <c r="D53" s="195"/>
      <c r="E53" s="195"/>
      <c r="F53" s="196"/>
      <c r="G53" s="196"/>
      <c r="H53" s="196"/>
      <c r="I53" s="197"/>
      <c r="J53" s="197"/>
      <c r="K53" s="197"/>
      <c r="O53" s="196"/>
      <c r="P53" s="196"/>
      <c r="Q53" s="196"/>
    </row>
    <row r="54" s="99" customFormat="1" spans="1:17">
      <c r="A54" s="194"/>
      <c r="B54" s="4"/>
      <c r="C54" s="195"/>
      <c r="D54" s="195"/>
      <c r="E54" s="195"/>
      <c r="F54" s="196"/>
      <c r="G54" s="196"/>
      <c r="H54" s="196"/>
      <c r="I54" s="197"/>
      <c r="J54" s="197"/>
      <c r="K54" s="197"/>
      <c r="O54" s="196"/>
      <c r="P54" s="196"/>
      <c r="Q54" s="196"/>
    </row>
    <row r="55" s="99" customFormat="1" spans="1:17">
      <c r="A55" s="194"/>
      <c r="B55" s="4"/>
      <c r="C55" s="195"/>
      <c r="D55" s="195"/>
      <c r="E55" s="195"/>
      <c r="F55" s="196"/>
      <c r="G55" s="196"/>
      <c r="H55" s="196"/>
      <c r="I55" s="197"/>
      <c r="J55" s="197"/>
      <c r="K55" s="197"/>
      <c r="O55" s="196"/>
      <c r="P55" s="196"/>
      <c r="Q55" s="196"/>
    </row>
    <row r="56" s="99" customFormat="1" spans="1:17">
      <c r="A56" s="194"/>
      <c r="B56" s="4"/>
      <c r="C56" s="195"/>
      <c r="D56" s="195"/>
      <c r="E56" s="195"/>
      <c r="F56" s="196"/>
      <c r="G56" s="196"/>
      <c r="H56" s="196"/>
      <c r="I56" s="197"/>
      <c r="J56" s="197"/>
      <c r="K56" s="197"/>
      <c r="O56" s="196"/>
      <c r="P56" s="196"/>
      <c r="Q56" s="196"/>
    </row>
    <row r="57" s="99" customFormat="1" spans="1:17">
      <c r="A57" s="194"/>
      <c r="B57" s="4"/>
      <c r="C57" s="195"/>
      <c r="D57" s="195"/>
      <c r="E57" s="195"/>
      <c r="F57" s="196"/>
      <c r="G57" s="196"/>
      <c r="H57" s="196"/>
      <c r="I57" s="197"/>
      <c r="J57" s="197"/>
      <c r="K57" s="197"/>
      <c r="O57" s="196"/>
      <c r="P57" s="196"/>
      <c r="Q57" s="196"/>
    </row>
    <row r="58" s="99" customFormat="1" spans="1:17">
      <c r="A58" s="194"/>
      <c r="B58" s="4"/>
      <c r="C58" s="195"/>
      <c r="D58" s="195"/>
      <c r="E58" s="195"/>
      <c r="F58" s="196"/>
      <c r="G58" s="196"/>
      <c r="H58" s="196"/>
      <c r="I58" s="197"/>
      <c r="J58" s="197"/>
      <c r="K58" s="197"/>
      <c r="O58" s="196"/>
      <c r="P58" s="196"/>
      <c r="Q58" s="196"/>
    </row>
    <row r="59" s="99" customFormat="1" spans="1:17">
      <c r="A59" s="194"/>
      <c r="B59" s="4"/>
      <c r="C59" s="195"/>
      <c r="D59" s="195"/>
      <c r="E59" s="195"/>
      <c r="F59" s="196"/>
      <c r="G59" s="196"/>
      <c r="H59" s="196"/>
      <c r="I59" s="197"/>
      <c r="J59" s="197"/>
      <c r="K59" s="197"/>
      <c r="O59" s="196"/>
      <c r="P59" s="196"/>
      <c r="Q59" s="196"/>
    </row>
    <row r="60" s="99" customFormat="1" spans="1:17">
      <c r="A60" s="194"/>
      <c r="B60" s="4"/>
      <c r="C60" s="195"/>
      <c r="D60" s="195"/>
      <c r="E60" s="195"/>
      <c r="F60" s="196"/>
      <c r="G60" s="196"/>
      <c r="H60" s="196"/>
      <c r="I60" s="197"/>
      <c r="J60" s="197"/>
      <c r="K60" s="197"/>
      <c r="O60" s="196"/>
      <c r="P60" s="196"/>
      <c r="Q60" s="196"/>
    </row>
    <row r="61" s="99" customFormat="1" spans="1:17">
      <c r="A61" s="194"/>
      <c r="B61" s="4"/>
      <c r="C61" s="195"/>
      <c r="D61" s="195"/>
      <c r="E61" s="195"/>
      <c r="F61" s="196"/>
      <c r="G61" s="196"/>
      <c r="H61" s="196"/>
      <c r="I61" s="197"/>
      <c r="J61" s="197"/>
      <c r="K61" s="197"/>
      <c r="O61" s="196"/>
      <c r="P61" s="196"/>
      <c r="Q61" s="196"/>
    </row>
    <row r="62" s="99" customFormat="1" spans="1:17">
      <c r="A62" s="194"/>
      <c r="B62" s="4"/>
      <c r="C62" s="195"/>
      <c r="D62" s="195"/>
      <c r="E62" s="195"/>
      <c r="F62" s="196"/>
      <c r="G62" s="196"/>
      <c r="H62" s="196"/>
      <c r="I62" s="197"/>
      <c r="J62" s="197"/>
      <c r="K62" s="197"/>
      <c r="O62" s="196"/>
      <c r="P62" s="196"/>
      <c r="Q62" s="196"/>
    </row>
    <row r="63" s="99" customFormat="1" spans="1:17">
      <c r="A63" s="194"/>
      <c r="B63" s="4"/>
      <c r="C63" s="195"/>
      <c r="D63" s="195"/>
      <c r="E63" s="195"/>
      <c r="F63" s="196"/>
      <c r="G63" s="196"/>
      <c r="H63" s="196"/>
      <c r="I63" s="197"/>
      <c r="J63" s="197"/>
      <c r="K63" s="197"/>
      <c r="O63" s="196"/>
      <c r="P63" s="196"/>
      <c r="Q63" s="196"/>
    </row>
    <row r="64" s="99" customFormat="1" spans="1:17">
      <c r="A64" s="194"/>
      <c r="B64" s="4"/>
      <c r="C64" s="195"/>
      <c r="D64" s="195"/>
      <c r="E64" s="195"/>
      <c r="F64" s="196"/>
      <c r="G64" s="196"/>
      <c r="H64" s="196"/>
      <c r="I64" s="197"/>
      <c r="J64" s="197"/>
      <c r="K64" s="197"/>
      <c r="O64" s="196"/>
      <c r="P64" s="196"/>
      <c r="Q64" s="196"/>
    </row>
    <row r="65" s="99" customFormat="1" spans="1:17">
      <c r="A65" s="194"/>
      <c r="B65" s="4"/>
      <c r="C65" s="195"/>
      <c r="D65" s="195"/>
      <c r="E65" s="195"/>
      <c r="F65" s="196"/>
      <c r="G65" s="196"/>
      <c r="H65" s="196"/>
      <c r="I65" s="197"/>
      <c r="J65" s="197"/>
      <c r="K65" s="197"/>
      <c r="O65" s="196"/>
      <c r="P65" s="196"/>
      <c r="Q65" s="196"/>
    </row>
    <row r="66" s="99" customFormat="1" spans="1:17">
      <c r="A66" s="194"/>
      <c r="B66" s="4"/>
      <c r="C66" s="195"/>
      <c r="D66" s="195"/>
      <c r="E66" s="195"/>
      <c r="F66" s="196"/>
      <c r="G66" s="196"/>
      <c r="H66" s="196"/>
      <c r="I66" s="197"/>
      <c r="J66" s="197"/>
      <c r="K66" s="197"/>
      <c r="O66" s="196"/>
      <c r="P66" s="196"/>
      <c r="Q66" s="196"/>
    </row>
    <row r="67" s="99" customFormat="1" spans="1:17">
      <c r="A67" s="194"/>
      <c r="B67" s="4"/>
      <c r="C67" s="195"/>
      <c r="D67" s="195"/>
      <c r="E67" s="195"/>
      <c r="F67" s="196"/>
      <c r="G67" s="196"/>
      <c r="H67" s="196"/>
      <c r="I67" s="197"/>
      <c r="J67" s="197"/>
      <c r="K67" s="197"/>
      <c r="O67" s="196"/>
      <c r="P67" s="196"/>
      <c r="Q67" s="196"/>
    </row>
    <row r="68" s="99" customFormat="1" spans="1:17">
      <c r="A68" s="194"/>
      <c r="B68" s="4"/>
      <c r="C68" s="195"/>
      <c r="D68" s="195"/>
      <c r="E68" s="195"/>
      <c r="F68" s="196"/>
      <c r="G68" s="196"/>
      <c r="H68" s="196"/>
      <c r="I68" s="197"/>
      <c r="J68" s="197"/>
      <c r="K68" s="197"/>
      <c r="O68" s="196"/>
      <c r="P68" s="196"/>
      <c r="Q68" s="196"/>
    </row>
    <row r="69" s="99" customFormat="1" spans="1:17">
      <c r="A69" s="194"/>
      <c r="B69" s="4"/>
      <c r="C69" s="195"/>
      <c r="D69" s="195"/>
      <c r="E69" s="195"/>
      <c r="F69" s="196"/>
      <c r="G69" s="196"/>
      <c r="H69" s="196"/>
      <c r="I69" s="197"/>
      <c r="J69" s="197"/>
      <c r="K69" s="197"/>
      <c r="O69" s="196"/>
      <c r="P69" s="196"/>
      <c r="Q69" s="196"/>
    </row>
    <row r="70" s="99" customFormat="1" spans="1:17">
      <c r="A70" s="194"/>
      <c r="B70" s="4"/>
      <c r="C70" s="195"/>
      <c r="D70" s="195"/>
      <c r="E70" s="195"/>
      <c r="F70" s="196"/>
      <c r="G70" s="196"/>
      <c r="H70" s="196"/>
      <c r="I70" s="197"/>
      <c r="J70" s="197"/>
      <c r="K70" s="197"/>
      <c r="O70" s="196"/>
      <c r="P70" s="196"/>
      <c r="Q70" s="196"/>
    </row>
    <row r="71" s="99" customFormat="1" spans="1:17">
      <c r="A71" s="194"/>
      <c r="B71" s="4"/>
      <c r="C71" s="195"/>
      <c r="D71" s="195"/>
      <c r="E71" s="195"/>
      <c r="F71" s="196"/>
      <c r="G71" s="196"/>
      <c r="H71" s="196"/>
      <c r="I71" s="197"/>
      <c r="J71" s="197"/>
      <c r="K71" s="197"/>
      <c r="O71" s="196"/>
      <c r="P71" s="196"/>
      <c r="Q71" s="196"/>
    </row>
    <row r="72" s="99" customFormat="1" spans="1:17">
      <c r="A72" s="194"/>
      <c r="B72" s="4"/>
      <c r="C72" s="195"/>
      <c r="D72" s="195"/>
      <c r="E72" s="195"/>
      <c r="F72" s="196"/>
      <c r="G72" s="196"/>
      <c r="H72" s="196"/>
      <c r="I72" s="197"/>
      <c r="J72" s="197"/>
      <c r="K72" s="197"/>
      <c r="O72" s="196"/>
      <c r="P72" s="196"/>
      <c r="Q72" s="196"/>
    </row>
    <row r="73" s="99" customFormat="1" spans="1:17">
      <c r="A73" s="194"/>
      <c r="B73" s="4"/>
      <c r="C73" s="195"/>
      <c r="D73" s="195"/>
      <c r="E73" s="195"/>
      <c r="F73" s="196"/>
      <c r="G73" s="196"/>
      <c r="H73" s="196"/>
      <c r="I73" s="197"/>
      <c r="J73" s="197"/>
      <c r="K73" s="197"/>
      <c r="O73" s="196"/>
      <c r="P73" s="196"/>
      <c r="Q73" s="196"/>
    </row>
    <row r="74" s="99" customFormat="1" spans="1:17">
      <c r="A74" s="194"/>
      <c r="B74" s="4"/>
      <c r="C74" s="195"/>
      <c r="D74" s="195"/>
      <c r="E74" s="195"/>
      <c r="F74" s="196"/>
      <c r="G74" s="196"/>
      <c r="H74" s="196"/>
      <c r="I74" s="197"/>
      <c r="J74" s="197"/>
      <c r="K74" s="197"/>
      <c r="O74" s="196"/>
      <c r="P74" s="196"/>
      <c r="Q74" s="196"/>
    </row>
    <row r="75" s="99" customFormat="1" spans="1:17">
      <c r="A75" s="194"/>
      <c r="B75" s="4"/>
      <c r="C75" s="195"/>
      <c r="D75" s="195"/>
      <c r="E75" s="195"/>
      <c r="F75" s="196"/>
      <c r="G75" s="196"/>
      <c r="H75" s="196"/>
      <c r="I75" s="197"/>
      <c r="J75" s="197"/>
      <c r="K75" s="197"/>
      <c r="O75" s="196"/>
      <c r="P75" s="196"/>
      <c r="Q75" s="196"/>
    </row>
    <row r="76" s="99" customFormat="1" spans="1:17">
      <c r="A76" s="194"/>
      <c r="B76" s="4"/>
      <c r="C76" s="195"/>
      <c r="D76" s="195"/>
      <c r="E76" s="195"/>
      <c r="F76" s="196"/>
      <c r="G76" s="196"/>
      <c r="H76" s="196"/>
      <c r="I76" s="197"/>
      <c r="J76" s="197"/>
      <c r="K76" s="197"/>
      <c r="O76" s="196"/>
      <c r="P76" s="196"/>
      <c r="Q76" s="196"/>
    </row>
    <row r="77" s="99" customFormat="1" spans="1:17">
      <c r="A77" s="194"/>
      <c r="B77" s="4"/>
      <c r="C77" s="195"/>
      <c r="D77" s="195"/>
      <c r="E77" s="195"/>
      <c r="F77" s="196"/>
      <c r="G77" s="196"/>
      <c r="H77" s="196"/>
      <c r="I77" s="197"/>
      <c r="J77" s="197"/>
      <c r="K77" s="197"/>
      <c r="O77" s="196"/>
      <c r="P77" s="196"/>
      <c r="Q77" s="196"/>
    </row>
    <row r="78" s="99" customFormat="1" spans="1:17">
      <c r="A78" s="194"/>
      <c r="B78" s="4"/>
      <c r="C78" s="195"/>
      <c r="D78" s="195"/>
      <c r="E78" s="195"/>
      <c r="F78" s="196"/>
      <c r="G78" s="196"/>
      <c r="H78" s="196"/>
      <c r="I78" s="197"/>
      <c r="J78" s="197"/>
      <c r="K78" s="197"/>
      <c r="O78" s="196"/>
      <c r="P78" s="196"/>
      <c r="Q78" s="196"/>
    </row>
    <row r="79" s="99" customFormat="1" spans="1:17">
      <c r="A79" s="194"/>
      <c r="B79" s="4"/>
      <c r="C79" s="195"/>
      <c r="D79" s="195"/>
      <c r="E79" s="195"/>
      <c r="F79" s="196"/>
      <c r="G79" s="196"/>
      <c r="H79" s="196"/>
      <c r="I79" s="197"/>
      <c r="J79" s="197"/>
      <c r="K79" s="197"/>
      <c r="O79" s="196"/>
      <c r="P79" s="196"/>
      <c r="Q79" s="196"/>
    </row>
    <row r="80" s="99" customFormat="1" spans="1:17">
      <c r="A80" s="194"/>
      <c r="B80" s="4"/>
      <c r="C80" s="195"/>
      <c r="D80" s="195"/>
      <c r="E80" s="195"/>
      <c r="F80" s="196"/>
      <c r="G80" s="196"/>
      <c r="H80" s="196"/>
      <c r="I80" s="197"/>
      <c r="J80" s="197"/>
      <c r="K80" s="197"/>
      <c r="O80" s="196"/>
      <c r="P80" s="196"/>
      <c r="Q80" s="196"/>
    </row>
    <row r="81" s="99" customFormat="1" spans="1:17">
      <c r="A81" s="194"/>
      <c r="B81" s="4"/>
      <c r="C81" s="195"/>
      <c r="D81" s="195"/>
      <c r="E81" s="195"/>
      <c r="F81" s="196"/>
      <c r="G81" s="196"/>
      <c r="H81" s="196"/>
      <c r="I81" s="197"/>
      <c r="J81" s="197"/>
      <c r="K81" s="197"/>
      <c r="O81" s="196"/>
      <c r="P81" s="196"/>
      <c r="Q81" s="196"/>
    </row>
    <row r="82" s="99" customFormat="1" spans="1:17">
      <c r="A82" s="194"/>
      <c r="B82" s="4"/>
      <c r="C82" s="195"/>
      <c r="D82" s="195"/>
      <c r="E82" s="195"/>
      <c r="F82" s="196"/>
      <c r="G82" s="196"/>
      <c r="H82" s="196"/>
      <c r="I82" s="197"/>
      <c r="J82" s="197"/>
      <c r="K82" s="197"/>
      <c r="O82" s="196"/>
      <c r="P82" s="196"/>
      <c r="Q82" s="196"/>
    </row>
    <row r="83" s="99" customFormat="1" spans="1:17">
      <c r="A83" s="194"/>
      <c r="B83" s="4"/>
      <c r="C83" s="195"/>
      <c r="D83" s="195"/>
      <c r="E83" s="195"/>
      <c r="F83" s="196"/>
      <c r="G83" s="196"/>
      <c r="H83" s="196"/>
      <c r="I83" s="197"/>
      <c r="J83" s="197"/>
      <c r="K83" s="197"/>
      <c r="O83" s="196"/>
      <c r="P83" s="196"/>
      <c r="Q83" s="196"/>
    </row>
    <row r="84" s="99" customFormat="1" spans="1:17">
      <c r="A84" s="194"/>
      <c r="B84" s="4"/>
      <c r="C84" s="195"/>
      <c r="D84" s="195"/>
      <c r="E84" s="195"/>
      <c r="F84" s="196"/>
      <c r="G84" s="196"/>
      <c r="H84" s="196"/>
      <c r="I84" s="197"/>
      <c r="J84" s="197"/>
      <c r="K84" s="197"/>
      <c r="O84" s="196"/>
      <c r="P84" s="196"/>
      <c r="Q84" s="196"/>
    </row>
    <row r="85" s="99" customFormat="1" spans="1:17">
      <c r="A85" s="194"/>
      <c r="B85" s="4"/>
      <c r="C85" s="195"/>
      <c r="D85" s="195"/>
      <c r="E85" s="195"/>
      <c r="F85" s="196"/>
      <c r="G85" s="196"/>
      <c r="H85" s="196"/>
      <c r="I85" s="197"/>
      <c r="J85" s="197"/>
      <c r="K85" s="197"/>
      <c r="O85" s="196"/>
      <c r="P85" s="196"/>
      <c r="Q85" s="196"/>
    </row>
    <row r="86" s="99" customFormat="1" spans="1:17">
      <c r="A86" s="194"/>
      <c r="B86" s="4"/>
      <c r="C86" s="195"/>
      <c r="D86" s="195"/>
      <c r="E86" s="195"/>
      <c r="F86" s="196"/>
      <c r="G86" s="196"/>
      <c r="H86" s="196"/>
      <c r="I86" s="197"/>
      <c r="J86" s="197"/>
      <c r="K86" s="197"/>
      <c r="O86" s="196"/>
      <c r="P86" s="196"/>
      <c r="Q86" s="196"/>
    </row>
    <row r="87" s="99" customFormat="1" spans="1:17">
      <c r="A87" s="194"/>
      <c r="B87" s="4"/>
      <c r="C87" s="195"/>
      <c r="D87" s="195"/>
      <c r="E87" s="195"/>
      <c r="F87" s="196"/>
      <c r="G87" s="196"/>
      <c r="H87" s="196"/>
      <c r="I87" s="197"/>
      <c r="J87" s="197"/>
      <c r="K87" s="197"/>
      <c r="O87" s="196"/>
      <c r="P87" s="196"/>
      <c r="Q87" s="196"/>
    </row>
    <row r="88" s="99" customFormat="1" spans="1:17">
      <c r="A88" s="194"/>
      <c r="B88" s="4"/>
      <c r="C88" s="195"/>
      <c r="D88" s="195"/>
      <c r="E88" s="195"/>
      <c r="F88" s="196"/>
      <c r="G88" s="196"/>
      <c r="H88" s="196"/>
      <c r="I88" s="197"/>
      <c r="J88" s="197"/>
      <c r="K88" s="197"/>
      <c r="O88" s="196"/>
      <c r="P88" s="196"/>
      <c r="Q88" s="196"/>
    </row>
    <row r="89" s="99" customFormat="1" spans="1:17">
      <c r="A89" s="194"/>
      <c r="B89" s="4"/>
      <c r="C89" s="195"/>
      <c r="D89" s="195"/>
      <c r="E89" s="195"/>
      <c r="F89" s="196"/>
      <c r="G89" s="196"/>
      <c r="H89" s="196"/>
      <c r="I89" s="197"/>
      <c r="J89" s="197"/>
      <c r="K89" s="197"/>
      <c r="O89" s="196"/>
      <c r="P89" s="196"/>
      <c r="Q89" s="196"/>
    </row>
    <row r="90" s="99" customFormat="1" spans="1:17">
      <c r="A90" s="194"/>
      <c r="B90" s="4"/>
      <c r="C90" s="195"/>
      <c r="D90" s="195"/>
      <c r="E90" s="195"/>
      <c r="F90" s="196"/>
      <c r="G90" s="196"/>
      <c r="H90" s="196"/>
      <c r="I90" s="197"/>
      <c r="J90" s="197"/>
      <c r="K90" s="197"/>
      <c r="O90" s="196"/>
      <c r="P90" s="196"/>
      <c r="Q90" s="196"/>
    </row>
    <row r="91" s="99" customFormat="1" spans="1:17">
      <c r="A91" s="194"/>
      <c r="B91" s="4"/>
      <c r="C91" s="195"/>
      <c r="D91" s="195"/>
      <c r="E91" s="195"/>
      <c r="F91" s="196"/>
      <c r="G91" s="196"/>
      <c r="H91" s="196"/>
      <c r="I91" s="197"/>
      <c r="J91" s="197"/>
      <c r="K91" s="197"/>
      <c r="O91" s="196"/>
      <c r="P91" s="196"/>
      <c r="Q91" s="196"/>
    </row>
    <row r="92" s="99" customFormat="1" spans="1:17">
      <c r="A92" s="194"/>
      <c r="B92" s="4"/>
      <c r="C92" s="195"/>
      <c r="D92" s="195"/>
      <c r="E92" s="195"/>
      <c r="F92" s="196"/>
      <c r="G92" s="196"/>
      <c r="H92" s="196"/>
      <c r="I92" s="197"/>
      <c r="J92" s="197"/>
      <c r="K92" s="197"/>
      <c r="O92" s="196"/>
      <c r="P92" s="196"/>
      <c r="Q92" s="196"/>
    </row>
    <row r="93" s="99" customFormat="1" spans="1:17">
      <c r="A93" s="194"/>
      <c r="B93" s="4"/>
      <c r="C93" s="195"/>
      <c r="D93" s="195"/>
      <c r="E93" s="195"/>
      <c r="F93" s="196"/>
      <c r="G93" s="196"/>
      <c r="H93" s="196"/>
      <c r="I93" s="197"/>
      <c r="J93" s="197"/>
      <c r="K93" s="197"/>
      <c r="O93" s="196"/>
      <c r="P93" s="196"/>
      <c r="Q93" s="196"/>
    </row>
    <row r="94" s="99" customFormat="1" spans="1:17">
      <c r="A94" s="194"/>
      <c r="B94" s="4"/>
      <c r="C94" s="195"/>
      <c r="D94" s="195"/>
      <c r="E94" s="195"/>
      <c r="F94" s="196"/>
      <c r="G94" s="196"/>
      <c r="H94" s="196"/>
      <c r="I94" s="197"/>
      <c r="J94" s="197"/>
      <c r="K94" s="197"/>
      <c r="O94" s="196"/>
      <c r="P94" s="196"/>
      <c r="Q94" s="196"/>
    </row>
    <row r="95" s="99" customFormat="1" spans="1:17">
      <c r="A95" s="194"/>
      <c r="B95" s="4"/>
      <c r="C95" s="195"/>
      <c r="D95" s="195"/>
      <c r="E95" s="195"/>
      <c r="F95" s="196"/>
      <c r="G95" s="196"/>
      <c r="H95" s="196"/>
      <c r="I95" s="197"/>
      <c r="J95" s="197"/>
      <c r="K95" s="197"/>
      <c r="O95" s="196"/>
      <c r="P95" s="196"/>
      <c r="Q95" s="196"/>
    </row>
    <row r="96" s="99" customFormat="1" spans="1:17">
      <c r="A96" s="194"/>
      <c r="B96" s="4"/>
      <c r="C96" s="195"/>
      <c r="D96" s="195"/>
      <c r="E96" s="195"/>
      <c r="F96" s="196"/>
      <c r="G96" s="196"/>
      <c r="H96" s="196"/>
      <c r="I96" s="197"/>
      <c r="J96" s="197"/>
      <c r="K96" s="197"/>
      <c r="O96" s="196"/>
      <c r="P96" s="196"/>
      <c r="Q96" s="196"/>
    </row>
    <row r="97" s="99" customFormat="1" spans="1:17">
      <c r="A97" s="194"/>
      <c r="B97" s="4"/>
      <c r="C97" s="195"/>
      <c r="D97" s="195"/>
      <c r="E97" s="195"/>
      <c r="F97" s="196"/>
      <c r="G97" s="196"/>
      <c r="H97" s="196"/>
      <c r="I97" s="197"/>
      <c r="J97" s="197"/>
      <c r="K97" s="197"/>
      <c r="O97" s="196"/>
      <c r="P97" s="196"/>
      <c r="Q97" s="196"/>
    </row>
    <row r="98" s="99" customFormat="1" spans="1:17">
      <c r="A98" s="194"/>
      <c r="B98" s="4"/>
      <c r="C98" s="195"/>
      <c r="D98" s="195"/>
      <c r="E98" s="195"/>
      <c r="F98" s="196"/>
      <c r="G98" s="196"/>
      <c r="H98" s="196"/>
      <c r="I98" s="197"/>
      <c r="J98" s="197"/>
      <c r="K98" s="197"/>
      <c r="O98" s="196"/>
      <c r="P98" s="196"/>
      <c r="Q98" s="196"/>
    </row>
    <row r="99" s="99" customFormat="1" spans="1:17">
      <c r="A99" s="194"/>
      <c r="B99" s="4"/>
      <c r="C99" s="195"/>
      <c r="D99" s="195"/>
      <c r="E99" s="195"/>
      <c r="F99" s="196"/>
      <c r="G99" s="196"/>
      <c r="H99" s="196"/>
      <c r="I99" s="197"/>
      <c r="J99" s="197"/>
      <c r="K99" s="197"/>
      <c r="O99" s="196"/>
      <c r="P99" s="196"/>
      <c r="Q99" s="196"/>
    </row>
    <row r="100" s="99" customFormat="1" spans="1:17">
      <c r="A100" s="194"/>
      <c r="B100" s="4"/>
      <c r="C100" s="195"/>
      <c r="D100" s="195"/>
      <c r="E100" s="195"/>
      <c r="F100" s="196"/>
      <c r="G100" s="196"/>
      <c r="H100" s="196"/>
      <c r="I100" s="197"/>
      <c r="J100" s="197"/>
      <c r="K100" s="197"/>
      <c r="O100" s="196"/>
      <c r="P100" s="196"/>
      <c r="Q100" s="196"/>
    </row>
    <row r="101" s="99" customFormat="1" spans="1:17">
      <c r="A101" s="194"/>
      <c r="B101" s="4"/>
      <c r="C101" s="195"/>
      <c r="D101" s="195"/>
      <c r="E101" s="195"/>
      <c r="F101" s="196"/>
      <c r="G101" s="196"/>
      <c r="H101" s="196"/>
      <c r="I101" s="197"/>
      <c r="J101" s="197"/>
      <c r="K101" s="197"/>
      <c r="O101" s="196"/>
      <c r="P101" s="196"/>
      <c r="Q101" s="196"/>
    </row>
    <row r="102" s="99" customFormat="1" spans="1:17">
      <c r="A102" s="194"/>
      <c r="B102" s="4"/>
      <c r="C102" s="195"/>
      <c r="D102" s="195"/>
      <c r="E102" s="195"/>
      <c r="F102" s="196"/>
      <c r="G102" s="196"/>
      <c r="H102" s="196"/>
      <c r="I102" s="197"/>
      <c r="J102" s="197"/>
      <c r="K102" s="197"/>
      <c r="O102" s="196"/>
      <c r="P102" s="196"/>
      <c r="Q102" s="196"/>
    </row>
    <row r="103" s="99" customFormat="1" spans="1:17">
      <c r="A103" s="194"/>
      <c r="B103" s="4"/>
      <c r="C103" s="195"/>
      <c r="D103" s="195"/>
      <c r="E103" s="195"/>
      <c r="F103" s="196"/>
      <c r="G103" s="196"/>
      <c r="H103" s="196"/>
      <c r="I103" s="197"/>
      <c r="J103" s="197"/>
      <c r="K103" s="197"/>
      <c r="O103" s="196"/>
      <c r="P103" s="196"/>
      <c r="Q103" s="196"/>
    </row>
    <row r="104" s="99" customFormat="1" spans="1:17">
      <c r="A104" s="194"/>
      <c r="B104" s="4"/>
      <c r="C104" s="195"/>
      <c r="D104" s="195"/>
      <c r="E104" s="195"/>
      <c r="F104" s="196"/>
      <c r="G104" s="196"/>
      <c r="H104" s="196"/>
      <c r="I104" s="197"/>
      <c r="J104" s="197"/>
      <c r="K104" s="197"/>
      <c r="O104" s="196"/>
      <c r="P104" s="196"/>
      <c r="Q104" s="196"/>
    </row>
    <row r="105" s="99" customFormat="1" spans="1:17">
      <c r="A105" s="194"/>
      <c r="B105" s="4"/>
      <c r="C105" s="195"/>
      <c r="D105" s="195"/>
      <c r="E105" s="195"/>
      <c r="F105" s="196"/>
      <c r="G105" s="196"/>
      <c r="H105" s="196"/>
      <c r="I105" s="197"/>
      <c r="J105" s="197"/>
      <c r="K105" s="197"/>
      <c r="O105" s="196"/>
      <c r="P105" s="196"/>
      <c r="Q105" s="196"/>
    </row>
    <row r="106" s="99" customFormat="1" spans="1:17">
      <c r="A106" s="194"/>
      <c r="B106" s="4"/>
      <c r="C106" s="195"/>
      <c r="D106" s="195"/>
      <c r="E106" s="195"/>
      <c r="F106" s="196"/>
      <c r="G106" s="196"/>
      <c r="H106" s="196"/>
      <c r="I106" s="197"/>
      <c r="J106" s="197"/>
      <c r="K106" s="197"/>
      <c r="O106" s="196"/>
      <c r="P106" s="196"/>
      <c r="Q106" s="196"/>
    </row>
    <row r="107" s="99" customFormat="1" spans="1:17">
      <c r="A107" s="194"/>
      <c r="B107" s="4"/>
      <c r="C107" s="195"/>
      <c r="D107" s="195"/>
      <c r="E107" s="195"/>
      <c r="F107" s="196"/>
      <c r="G107" s="196"/>
      <c r="H107" s="196"/>
      <c r="I107" s="197"/>
      <c r="J107" s="197"/>
      <c r="K107" s="197"/>
      <c r="O107" s="196"/>
      <c r="P107" s="196"/>
      <c r="Q107" s="196"/>
    </row>
    <row r="108" s="99" customFormat="1" spans="1:17">
      <c r="A108" s="194"/>
      <c r="B108" s="4"/>
      <c r="C108" s="195"/>
      <c r="D108" s="195"/>
      <c r="E108" s="195"/>
      <c r="F108" s="196"/>
      <c r="G108" s="196"/>
      <c r="H108" s="196"/>
      <c r="I108" s="197"/>
      <c r="J108" s="197"/>
      <c r="K108" s="197"/>
      <c r="O108" s="196"/>
      <c r="P108" s="196"/>
      <c r="Q108" s="196"/>
    </row>
    <row r="109" s="99" customFormat="1" spans="1:17">
      <c r="A109" s="194"/>
      <c r="B109" s="4"/>
      <c r="C109" s="195"/>
      <c r="D109" s="195"/>
      <c r="E109" s="195"/>
      <c r="F109" s="196"/>
      <c r="G109" s="196"/>
      <c r="H109" s="196"/>
      <c r="I109" s="197"/>
      <c r="J109" s="197"/>
      <c r="K109" s="197"/>
      <c r="O109" s="196"/>
      <c r="P109" s="196"/>
      <c r="Q109" s="196"/>
    </row>
    <row r="110" s="99" customFormat="1" spans="1:17">
      <c r="A110" s="194"/>
      <c r="B110" s="4"/>
      <c r="C110" s="195"/>
      <c r="D110" s="195"/>
      <c r="E110" s="195"/>
      <c r="F110" s="196"/>
      <c r="G110" s="196"/>
      <c r="H110" s="196"/>
      <c r="I110" s="197"/>
      <c r="J110" s="197"/>
      <c r="K110" s="197"/>
      <c r="O110" s="196"/>
      <c r="P110" s="196"/>
      <c r="Q110" s="196"/>
    </row>
    <row r="111" s="99" customFormat="1" spans="1:17">
      <c r="A111" s="194"/>
      <c r="B111" s="4"/>
      <c r="C111" s="195"/>
      <c r="D111" s="195"/>
      <c r="E111" s="195"/>
      <c r="F111" s="196"/>
      <c r="G111" s="196"/>
      <c r="H111" s="196"/>
      <c r="I111" s="197"/>
      <c r="J111" s="197"/>
      <c r="K111" s="197"/>
      <c r="O111" s="196"/>
      <c r="P111" s="196"/>
      <c r="Q111" s="196"/>
    </row>
    <row r="112" s="99" customFormat="1" spans="1:17">
      <c r="A112" s="194"/>
      <c r="B112" s="4"/>
      <c r="C112" s="195"/>
      <c r="D112" s="195"/>
      <c r="E112" s="195"/>
      <c r="F112" s="196"/>
      <c r="G112" s="196"/>
      <c r="H112" s="196"/>
      <c r="I112" s="197"/>
      <c r="J112" s="197"/>
      <c r="K112" s="197"/>
      <c r="O112" s="196"/>
      <c r="P112" s="196"/>
      <c r="Q112" s="196"/>
    </row>
    <row r="113" s="99" customFormat="1" spans="1:17">
      <c r="A113" s="194"/>
      <c r="B113" s="4"/>
      <c r="C113" s="195"/>
      <c r="D113" s="195"/>
      <c r="E113" s="195"/>
      <c r="F113" s="196"/>
      <c r="G113" s="196"/>
      <c r="H113" s="196"/>
      <c r="I113" s="197"/>
      <c r="J113" s="197"/>
      <c r="K113" s="197"/>
      <c r="O113" s="196"/>
      <c r="P113" s="196"/>
      <c r="Q113" s="196"/>
    </row>
    <row r="114" s="99" customFormat="1" spans="1:17">
      <c r="A114" s="194"/>
      <c r="B114" s="4"/>
      <c r="C114" s="195"/>
      <c r="D114" s="195"/>
      <c r="E114" s="195"/>
      <c r="F114" s="196"/>
      <c r="G114" s="196"/>
      <c r="H114" s="196"/>
      <c r="I114" s="197"/>
      <c r="J114" s="197"/>
      <c r="K114" s="197"/>
      <c r="O114" s="196"/>
      <c r="P114" s="196"/>
      <c r="Q114" s="196"/>
    </row>
    <row r="115" s="99" customFormat="1" spans="1:17">
      <c r="A115" s="194"/>
      <c r="B115" s="4"/>
      <c r="C115" s="195"/>
      <c r="D115" s="195"/>
      <c r="E115" s="195"/>
      <c r="F115" s="196"/>
      <c r="G115" s="196"/>
      <c r="H115" s="196"/>
      <c r="I115" s="197"/>
      <c r="J115" s="197"/>
      <c r="K115" s="197"/>
      <c r="O115" s="196"/>
      <c r="P115" s="196"/>
      <c r="Q115" s="196"/>
    </row>
    <row r="116" s="99" customFormat="1" spans="1:17">
      <c r="A116" s="194"/>
      <c r="B116" s="4"/>
      <c r="C116" s="195"/>
      <c r="D116" s="195"/>
      <c r="E116" s="195"/>
      <c r="F116" s="196"/>
      <c r="G116" s="196"/>
      <c r="H116" s="196"/>
      <c r="I116" s="197"/>
      <c r="J116" s="197"/>
      <c r="K116" s="197"/>
      <c r="O116" s="196"/>
      <c r="P116" s="196"/>
      <c r="Q116" s="196"/>
    </row>
    <row r="117" s="99" customFormat="1" spans="1:17">
      <c r="A117" s="194"/>
      <c r="B117" s="4"/>
      <c r="C117" s="195"/>
      <c r="D117" s="195"/>
      <c r="E117" s="195"/>
      <c r="F117" s="196"/>
      <c r="G117" s="196"/>
      <c r="H117" s="196"/>
      <c r="I117" s="197"/>
      <c r="J117" s="197"/>
      <c r="K117" s="197"/>
      <c r="O117" s="196"/>
      <c r="P117" s="196"/>
      <c r="Q117" s="196"/>
    </row>
    <row r="118" s="99" customFormat="1" spans="1:17">
      <c r="A118" s="194"/>
      <c r="B118" s="4"/>
      <c r="C118" s="195"/>
      <c r="D118" s="195"/>
      <c r="E118" s="195"/>
      <c r="F118" s="196"/>
      <c r="G118" s="196"/>
      <c r="H118" s="196"/>
      <c r="I118" s="197"/>
      <c r="J118" s="197"/>
      <c r="K118" s="197"/>
      <c r="O118" s="196"/>
      <c r="P118" s="196"/>
      <c r="Q118" s="196"/>
    </row>
    <row r="119" s="99" customFormat="1" spans="1:17">
      <c r="A119" s="194"/>
      <c r="B119" s="4"/>
      <c r="C119" s="195"/>
      <c r="D119" s="195"/>
      <c r="E119" s="195"/>
      <c r="F119" s="196"/>
      <c r="G119" s="196"/>
      <c r="H119" s="196"/>
      <c r="I119" s="197"/>
      <c r="J119" s="197"/>
      <c r="K119" s="197"/>
      <c r="O119" s="196"/>
      <c r="P119" s="196"/>
      <c r="Q119" s="196"/>
    </row>
    <row r="120" s="99" customFormat="1" spans="1:17">
      <c r="A120" s="194"/>
      <c r="B120" s="4"/>
      <c r="C120" s="195"/>
      <c r="D120" s="195"/>
      <c r="E120" s="195"/>
      <c r="F120" s="196"/>
      <c r="G120" s="196"/>
      <c r="H120" s="196"/>
      <c r="I120" s="197"/>
      <c r="J120" s="197"/>
      <c r="K120" s="197"/>
      <c r="O120" s="196"/>
      <c r="P120" s="196"/>
      <c r="Q120" s="196"/>
    </row>
    <row r="121" s="99" customFormat="1" spans="1:17">
      <c r="A121" s="194"/>
      <c r="B121" s="4"/>
      <c r="C121" s="195"/>
      <c r="D121" s="195"/>
      <c r="E121" s="195"/>
      <c r="F121" s="196"/>
      <c r="G121" s="196"/>
      <c r="H121" s="196"/>
      <c r="I121" s="197"/>
      <c r="J121" s="197"/>
      <c r="K121" s="197"/>
      <c r="O121" s="196"/>
      <c r="P121" s="196"/>
      <c r="Q121" s="196"/>
    </row>
    <row r="122" s="99" customFormat="1" spans="1:17">
      <c r="A122" s="194"/>
      <c r="B122" s="4"/>
      <c r="C122" s="195"/>
      <c r="D122" s="195"/>
      <c r="E122" s="195"/>
      <c r="F122" s="196"/>
      <c r="G122" s="196"/>
      <c r="H122" s="196"/>
      <c r="I122" s="197"/>
      <c r="J122" s="197"/>
      <c r="K122" s="197"/>
      <c r="O122" s="196"/>
      <c r="P122" s="196"/>
      <c r="Q122" s="196"/>
    </row>
    <row r="123" s="99" customFormat="1" spans="1:17">
      <c r="A123" s="194"/>
      <c r="B123" s="4"/>
      <c r="C123" s="195"/>
      <c r="D123" s="195"/>
      <c r="E123" s="195"/>
      <c r="F123" s="196"/>
      <c r="G123" s="196"/>
      <c r="H123" s="196"/>
      <c r="I123" s="197"/>
      <c r="J123" s="197"/>
      <c r="K123" s="197"/>
      <c r="O123" s="196"/>
      <c r="P123" s="196"/>
      <c r="Q123" s="196"/>
    </row>
    <row r="124" s="99" customFormat="1" spans="1:17">
      <c r="A124" s="194"/>
      <c r="B124" s="4"/>
      <c r="C124" s="195"/>
      <c r="D124" s="195"/>
      <c r="E124" s="195"/>
      <c r="F124" s="196"/>
      <c r="G124" s="196"/>
      <c r="H124" s="196"/>
      <c r="I124" s="197"/>
      <c r="J124" s="197"/>
      <c r="K124" s="197"/>
      <c r="O124" s="196"/>
      <c r="P124" s="196"/>
      <c r="Q124" s="196"/>
    </row>
    <row r="125" s="99" customFormat="1" spans="1:17">
      <c r="A125" s="194"/>
      <c r="B125" s="4"/>
      <c r="C125" s="195"/>
      <c r="D125" s="195"/>
      <c r="E125" s="195"/>
      <c r="F125" s="196"/>
      <c r="G125" s="196"/>
      <c r="H125" s="196"/>
      <c r="I125" s="197"/>
      <c r="J125" s="197"/>
      <c r="K125" s="197"/>
      <c r="O125" s="196"/>
      <c r="P125" s="196"/>
      <c r="Q125" s="196"/>
    </row>
    <row r="126" s="99" customFormat="1" spans="1:17">
      <c r="A126" s="194"/>
      <c r="B126" s="4"/>
      <c r="C126" s="195"/>
      <c r="D126" s="195"/>
      <c r="E126" s="195"/>
      <c r="F126" s="196"/>
      <c r="G126" s="196"/>
      <c r="H126" s="196"/>
      <c r="I126" s="197"/>
      <c r="J126" s="197"/>
      <c r="K126" s="197"/>
      <c r="O126" s="196"/>
      <c r="P126" s="196"/>
      <c r="Q126" s="196"/>
    </row>
    <row r="127" s="99" customFormat="1" spans="1:17">
      <c r="A127" s="194"/>
      <c r="B127" s="4"/>
      <c r="C127" s="195"/>
      <c r="D127" s="195"/>
      <c r="E127" s="195"/>
      <c r="F127" s="196"/>
      <c r="G127" s="196"/>
      <c r="H127" s="196"/>
      <c r="I127" s="197"/>
      <c r="J127" s="197"/>
      <c r="K127" s="197"/>
      <c r="O127" s="196"/>
      <c r="P127" s="196"/>
      <c r="Q127" s="196"/>
    </row>
    <row r="128" s="99" customFormat="1" spans="1:17">
      <c r="A128" s="194"/>
      <c r="B128" s="4"/>
      <c r="C128" s="195"/>
      <c r="D128" s="195"/>
      <c r="E128" s="195"/>
      <c r="F128" s="196"/>
      <c r="G128" s="196"/>
      <c r="H128" s="196"/>
      <c r="I128" s="197"/>
      <c r="J128" s="197"/>
      <c r="K128" s="197"/>
      <c r="O128" s="196"/>
      <c r="P128" s="196"/>
      <c r="Q128" s="196"/>
    </row>
    <row r="129" s="99" customFormat="1" spans="1:17">
      <c r="A129" s="194"/>
      <c r="B129" s="4"/>
      <c r="C129" s="195"/>
      <c r="D129" s="195"/>
      <c r="E129" s="195"/>
      <c r="F129" s="196"/>
      <c r="G129" s="196"/>
      <c r="H129" s="196"/>
      <c r="I129" s="197"/>
      <c r="J129" s="197"/>
      <c r="K129" s="197"/>
      <c r="O129" s="196"/>
      <c r="P129" s="196"/>
      <c r="Q129" s="196"/>
    </row>
    <row r="130" s="99" customFormat="1" spans="1:17">
      <c r="A130" s="194"/>
      <c r="B130" s="4"/>
      <c r="C130" s="195"/>
      <c r="D130" s="195"/>
      <c r="E130" s="195"/>
      <c r="F130" s="196"/>
      <c r="G130" s="196"/>
      <c r="H130" s="196"/>
      <c r="I130" s="197"/>
      <c r="J130" s="197"/>
      <c r="K130" s="197"/>
      <c r="O130" s="196"/>
      <c r="P130" s="196"/>
      <c r="Q130" s="196"/>
    </row>
    <row r="131" s="99" customFormat="1" spans="1:17">
      <c r="A131" s="194"/>
      <c r="B131" s="4"/>
      <c r="C131" s="195"/>
      <c r="D131" s="195"/>
      <c r="E131" s="195"/>
      <c r="F131" s="196"/>
      <c r="G131" s="196"/>
      <c r="H131" s="196"/>
      <c r="I131" s="197"/>
      <c r="J131" s="197"/>
      <c r="K131" s="197"/>
      <c r="O131" s="196"/>
      <c r="P131" s="196"/>
      <c r="Q131" s="196"/>
    </row>
    <row r="132" s="99" customFormat="1" spans="1:17">
      <c r="A132" s="194"/>
      <c r="B132" s="4"/>
      <c r="C132" s="195"/>
      <c r="D132" s="195"/>
      <c r="E132" s="195"/>
      <c r="F132" s="196"/>
      <c r="G132" s="196"/>
      <c r="H132" s="196"/>
      <c r="I132" s="197"/>
      <c r="J132" s="197"/>
      <c r="K132" s="197"/>
      <c r="O132" s="196"/>
      <c r="P132" s="196"/>
      <c r="Q132" s="196"/>
    </row>
    <row r="133" s="99" customFormat="1" spans="1:17">
      <c r="A133" s="194"/>
      <c r="B133" s="4"/>
      <c r="C133" s="195"/>
      <c r="D133" s="195"/>
      <c r="E133" s="195"/>
      <c r="F133" s="196"/>
      <c r="G133" s="196"/>
      <c r="H133" s="196"/>
      <c r="I133" s="197"/>
      <c r="J133" s="197"/>
      <c r="K133" s="197"/>
      <c r="O133" s="196"/>
      <c r="P133" s="196"/>
      <c r="Q133" s="196"/>
    </row>
    <row r="134" s="99" customFormat="1" spans="1:17">
      <c r="A134" s="194"/>
      <c r="B134" s="4"/>
      <c r="C134" s="195"/>
      <c r="D134" s="195"/>
      <c r="E134" s="195"/>
      <c r="F134" s="196"/>
      <c r="G134" s="196"/>
      <c r="H134" s="196"/>
      <c r="I134" s="197"/>
      <c r="J134" s="197"/>
      <c r="K134" s="197"/>
      <c r="O134" s="196"/>
      <c r="P134" s="196"/>
      <c r="Q134" s="196"/>
    </row>
    <row r="135" s="99" customFormat="1" spans="1:17">
      <c r="A135" s="194"/>
      <c r="B135" s="4"/>
      <c r="C135" s="195"/>
      <c r="D135" s="195"/>
      <c r="E135" s="195"/>
      <c r="F135" s="196"/>
      <c r="G135" s="196"/>
      <c r="H135" s="196"/>
      <c r="I135" s="197"/>
      <c r="J135" s="197"/>
      <c r="K135" s="197"/>
      <c r="O135" s="196"/>
      <c r="P135" s="196"/>
      <c r="Q135" s="196"/>
    </row>
    <row r="136" s="99" customFormat="1" spans="1:17">
      <c r="A136" s="194"/>
      <c r="B136" s="4"/>
      <c r="C136" s="195"/>
      <c r="D136" s="195"/>
      <c r="E136" s="195"/>
      <c r="F136" s="196"/>
      <c r="G136" s="196"/>
      <c r="H136" s="196"/>
      <c r="I136" s="197"/>
      <c r="J136" s="197"/>
      <c r="K136" s="197"/>
      <c r="O136" s="196"/>
      <c r="P136" s="196"/>
      <c r="Q136" s="196"/>
    </row>
    <row r="137" s="99" customFormat="1" spans="1:17">
      <c r="A137" s="194"/>
      <c r="B137" s="4"/>
      <c r="C137" s="195"/>
      <c r="D137" s="195"/>
      <c r="E137" s="195"/>
      <c r="F137" s="196"/>
      <c r="G137" s="196"/>
      <c r="H137" s="196"/>
      <c r="I137" s="197"/>
      <c r="J137" s="197"/>
      <c r="K137" s="197"/>
      <c r="O137" s="196"/>
      <c r="P137" s="196"/>
      <c r="Q137" s="196"/>
    </row>
    <row r="138" s="99" customFormat="1" spans="1:17">
      <c r="A138" s="194"/>
      <c r="B138" s="4"/>
      <c r="C138" s="195"/>
      <c r="D138" s="195"/>
      <c r="E138" s="195"/>
      <c r="F138" s="196"/>
      <c r="G138" s="196"/>
      <c r="H138" s="196"/>
      <c r="I138" s="197"/>
      <c r="J138" s="197"/>
      <c r="K138" s="197"/>
      <c r="O138" s="196"/>
      <c r="P138" s="196"/>
      <c r="Q138" s="196"/>
    </row>
    <row r="139" s="99" customFormat="1" spans="1:17">
      <c r="A139" s="194"/>
      <c r="B139" s="4"/>
      <c r="C139" s="195"/>
      <c r="D139" s="195"/>
      <c r="E139" s="195"/>
      <c r="F139" s="196"/>
      <c r="G139" s="196"/>
      <c r="H139" s="196"/>
      <c r="I139" s="197"/>
      <c r="J139" s="197"/>
      <c r="K139" s="197"/>
      <c r="O139" s="196"/>
      <c r="P139" s="196"/>
      <c r="Q139" s="196"/>
    </row>
    <row r="140" s="99" customFormat="1" spans="1:17">
      <c r="A140" s="194"/>
      <c r="B140" s="4"/>
      <c r="C140" s="195"/>
      <c r="D140" s="195"/>
      <c r="E140" s="195"/>
      <c r="F140" s="196"/>
      <c r="G140" s="196"/>
      <c r="H140" s="196"/>
      <c r="I140" s="197"/>
      <c r="J140" s="197"/>
      <c r="K140" s="197"/>
      <c r="O140" s="196"/>
      <c r="P140" s="196"/>
      <c r="Q140" s="196"/>
    </row>
    <row r="141" s="99" customFormat="1" spans="1:17">
      <c r="A141" s="194"/>
      <c r="B141" s="4"/>
      <c r="C141" s="195"/>
      <c r="D141" s="195"/>
      <c r="E141" s="195"/>
      <c r="F141" s="196"/>
      <c r="G141" s="196"/>
      <c r="H141" s="196"/>
      <c r="I141" s="197"/>
      <c r="J141" s="197"/>
      <c r="K141" s="197"/>
      <c r="O141" s="196"/>
      <c r="P141" s="196"/>
      <c r="Q141" s="196"/>
    </row>
    <row r="142" s="99" customFormat="1" spans="1:17">
      <c r="A142" s="194"/>
      <c r="B142" s="4"/>
      <c r="C142" s="195"/>
      <c r="D142" s="195"/>
      <c r="E142" s="195"/>
      <c r="F142" s="196"/>
      <c r="G142" s="196"/>
      <c r="H142" s="196"/>
      <c r="I142" s="197"/>
      <c r="J142" s="197"/>
      <c r="K142" s="197"/>
      <c r="O142" s="196"/>
      <c r="P142" s="196"/>
      <c r="Q142" s="196"/>
    </row>
    <row r="143" s="99" customFormat="1" spans="1:17">
      <c r="A143" s="194"/>
      <c r="B143" s="4"/>
      <c r="C143" s="195"/>
      <c r="D143" s="195"/>
      <c r="E143" s="195"/>
      <c r="F143" s="196"/>
      <c r="G143" s="196"/>
      <c r="H143" s="196"/>
      <c r="I143" s="197"/>
      <c r="J143" s="197"/>
      <c r="K143" s="197"/>
      <c r="O143" s="196"/>
      <c r="P143" s="196"/>
      <c r="Q143" s="196"/>
    </row>
    <row r="144" s="99" customFormat="1" spans="1:17">
      <c r="A144" s="194"/>
      <c r="B144" s="4"/>
      <c r="C144" s="195"/>
      <c r="D144" s="195"/>
      <c r="E144" s="195"/>
      <c r="F144" s="196"/>
      <c r="G144" s="196"/>
      <c r="H144" s="196"/>
      <c r="I144" s="197"/>
      <c r="J144" s="197"/>
      <c r="K144" s="197"/>
      <c r="O144" s="196"/>
      <c r="P144" s="196"/>
      <c r="Q144" s="196"/>
    </row>
    <row r="145" s="99" customFormat="1" spans="1:17">
      <c r="A145" s="194"/>
      <c r="B145" s="4"/>
      <c r="C145" s="195"/>
      <c r="D145" s="195"/>
      <c r="E145" s="195"/>
      <c r="F145" s="196"/>
      <c r="G145" s="196"/>
      <c r="H145" s="196"/>
      <c r="I145" s="197"/>
      <c r="J145" s="197"/>
      <c r="K145" s="197"/>
      <c r="O145" s="196"/>
      <c r="P145" s="196"/>
      <c r="Q145" s="196"/>
    </row>
    <row r="146" s="99" customFormat="1" spans="1:17">
      <c r="A146" s="194"/>
      <c r="B146" s="4"/>
      <c r="C146" s="195"/>
      <c r="D146" s="195"/>
      <c r="E146" s="195"/>
      <c r="F146" s="196"/>
      <c r="G146" s="196"/>
      <c r="H146" s="196"/>
      <c r="I146" s="197"/>
      <c r="J146" s="197"/>
      <c r="K146" s="197"/>
      <c r="O146" s="196"/>
      <c r="P146" s="196"/>
      <c r="Q146" s="196"/>
    </row>
    <row r="147" s="99" customFormat="1" spans="1:17">
      <c r="A147" s="194"/>
      <c r="B147" s="4"/>
      <c r="C147" s="195"/>
      <c r="D147" s="195"/>
      <c r="E147" s="195"/>
      <c r="F147" s="196"/>
      <c r="G147" s="196"/>
      <c r="H147" s="196"/>
      <c r="I147" s="197"/>
      <c r="J147" s="197"/>
      <c r="K147" s="197"/>
      <c r="O147" s="196"/>
      <c r="P147" s="196"/>
      <c r="Q147" s="196"/>
    </row>
    <row r="148" s="99" customFormat="1" spans="1:17">
      <c r="A148" s="194"/>
      <c r="B148" s="4"/>
      <c r="C148" s="195"/>
      <c r="D148" s="195"/>
      <c r="E148" s="195"/>
      <c r="F148" s="196"/>
      <c r="G148" s="196"/>
      <c r="H148" s="196"/>
      <c r="I148" s="197"/>
      <c r="J148" s="197"/>
      <c r="K148" s="197"/>
      <c r="O148" s="196"/>
      <c r="P148" s="196"/>
      <c r="Q148" s="196"/>
    </row>
    <row r="149" s="99" customFormat="1" spans="1:17">
      <c r="A149" s="194"/>
      <c r="B149" s="4"/>
      <c r="C149" s="195"/>
      <c r="D149" s="195"/>
      <c r="E149" s="195"/>
      <c r="F149" s="196"/>
      <c r="G149" s="196"/>
      <c r="H149" s="196"/>
      <c r="I149" s="197"/>
      <c r="J149" s="197"/>
      <c r="K149" s="197"/>
      <c r="O149" s="196"/>
      <c r="P149" s="196"/>
      <c r="Q149" s="196"/>
    </row>
    <row r="150" s="99" customFormat="1" spans="1:17">
      <c r="A150" s="194"/>
      <c r="B150" s="4"/>
      <c r="C150" s="195"/>
      <c r="D150" s="195"/>
      <c r="E150" s="195"/>
      <c r="F150" s="196"/>
      <c r="G150" s="196"/>
      <c r="H150" s="196"/>
      <c r="I150" s="197"/>
      <c r="J150" s="197"/>
      <c r="K150" s="197"/>
      <c r="O150" s="196"/>
      <c r="P150" s="196"/>
      <c r="Q150" s="196"/>
    </row>
    <row r="151" s="99" customFormat="1" spans="1:17">
      <c r="A151" s="194"/>
      <c r="B151" s="4"/>
      <c r="C151" s="195"/>
      <c r="D151" s="195"/>
      <c r="E151" s="195"/>
      <c r="F151" s="196"/>
      <c r="G151" s="196"/>
      <c r="H151" s="196"/>
      <c r="I151" s="197"/>
      <c r="J151" s="197"/>
      <c r="K151" s="197"/>
      <c r="O151" s="196"/>
      <c r="P151" s="196"/>
      <c r="Q151" s="196"/>
    </row>
    <row r="152" s="99" customFormat="1" spans="1:17">
      <c r="A152" s="194"/>
      <c r="B152" s="4"/>
      <c r="C152" s="195"/>
      <c r="D152" s="195"/>
      <c r="E152" s="195"/>
      <c r="F152" s="196"/>
      <c r="G152" s="196"/>
      <c r="H152" s="196"/>
      <c r="I152" s="197"/>
      <c r="J152" s="197"/>
      <c r="K152" s="197"/>
      <c r="O152" s="196"/>
      <c r="P152" s="196"/>
      <c r="Q152" s="196"/>
    </row>
    <row r="153" s="99" customFormat="1" spans="1:17">
      <c r="A153" s="194"/>
      <c r="B153" s="4"/>
      <c r="C153" s="195"/>
      <c r="D153" s="195"/>
      <c r="E153" s="195"/>
      <c r="F153" s="196"/>
      <c r="G153" s="196"/>
      <c r="H153" s="196"/>
      <c r="I153" s="197"/>
      <c r="J153" s="197"/>
      <c r="K153" s="197"/>
      <c r="O153" s="196"/>
      <c r="P153" s="196"/>
      <c r="Q153" s="196"/>
    </row>
    <row r="154" s="99" customFormat="1" spans="1:17">
      <c r="A154" s="194"/>
      <c r="B154" s="4"/>
      <c r="C154" s="195"/>
      <c r="D154" s="195"/>
      <c r="E154" s="195"/>
      <c r="F154" s="196"/>
      <c r="G154" s="196"/>
      <c r="H154" s="196"/>
      <c r="I154" s="197"/>
      <c r="J154" s="197"/>
      <c r="K154" s="197"/>
      <c r="O154" s="196"/>
      <c r="P154" s="196"/>
      <c r="Q154" s="196"/>
    </row>
    <row r="155" s="99" customFormat="1" spans="1:17">
      <c r="A155" s="194"/>
      <c r="B155" s="4"/>
      <c r="C155" s="195"/>
      <c r="D155" s="195"/>
      <c r="E155" s="195"/>
      <c r="F155" s="196"/>
      <c r="G155" s="196"/>
      <c r="H155" s="196"/>
      <c r="I155" s="197"/>
      <c r="J155" s="197"/>
      <c r="K155" s="197"/>
      <c r="O155" s="196"/>
      <c r="P155" s="196"/>
      <c r="Q155" s="196"/>
    </row>
    <row r="156" s="99" customFormat="1" spans="1:17">
      <c r="A156" s="194"/>
      <c r="B156" s="4"/>
      <c r="C156" s="195"/>
      <c r="D156" s="195"/>
      <c r="E156" s="195"/>
      <c r="F156" s="196"/>
      <c r="G156" s="196"/>
      <c r="H156" s="196"/>
      <c r="I156" s="197"/>
      <c r="J156" s="197"/>
      <c r="K156" s="197"/>
      <c r="O156" s="196"/>
      <c r="P156" s="196"/>
      <c r="Q156" s="196"/>
    </row>
    <row r="157" s="99" customFormat="1" spans="1:17">
      <c r="A157" s="194"/>
      <c r="B157" s="4"/>
      <c r="C157" s="195"/>
      <c r="D157" s="195"/>
      <c r="E157" s="195"/>
      <c r="F157" s="196"/>
      <c r="G157" s="196"/>
      <c r="H157" s="196"/>
      <c r="I157" s="197"/>
      <c r="J157" s="197"/>
      <c r="K157" s="197"/>
      <c r="O157" s="196"/>
      <c r="P157" s="196"/>
      <c r="Q157" s="196"/>
    </row>
    <row r="158" s="99" customFormat="1" spans="1:17">
      <c r="A158" s="194"/>
      <c r="B158" s="4"/>
      <c r="C158" s="195"/>
      <c r="D158" s="195"/>
      <c r="E158" s="195"/>
      <c r="F158" s="196"/>
      <c r="G158" s="196"/>
      <c r="H158" s="196"/>
      <c r="I158" s="197"/>
      <c r="J158" s="197"/>
      <c r="K158" s="197"/>
      <c r="O158" s="196"/>
      <c r="P158" s="196"/>
      <c r="Q158" s="196"/>
    </row>
    <row r="159" s="99" customFormat="1" spans="1:17">
      <c r="A159" s="194"/>
      <c r="B159" s="4"/>
      <c r="C159" s="195"/>
      <c r="D159" s="195"/>
      <c r="E159" s="195"/>
      <c r="F159" s="196"/>
      <c r="G159" s="196"/>
      <c r="H159" s="196"/>
      <c r="I159" s="197"/>
      <c r="J159" s="197"/>
      <c r="K159" s="197"/>
      <c r="O159" s="196"/>
      <c r="P159" s="196"/>
      <c r="Q159" s="196"/>
    </row>
    <row r="160" s="99" customFormat="1" spans="1:17">
      <c r="A160" s="194"/>
      <c r="B160" s="4"/>
      <c r="C160" s="195"/>
      <c r="D160" s="195"/>
      <c r="E160" s="195"/>
      <c r="F160" s="196"/>
      <c r="G160" s="196"/>
      <c r="H160" s="196"/>
      <c r="I160" s="197"/>
      <c r="J160" s="197"/>
      <c r="K160" s="197"/>
      <c r="O160" s="196"/>
      <c r="P160" s="196"/>
      <c r="Q160" s="196"/>
    </row>
    <row r="161" s="99" customFormat="1" spans="1:17">
      <c r="A161" s="194"/>
      <c r="B161" s="4"/>
      <c r="C161" s="195"/>
      <c r="D161" s="195"/>
      <c r="E161" s="195"/>
      <c r="F161" s="196"/>
      <c r="G161" s="196"/>
      <c r="H161" s="196"/>
      <c r="I161" s="197"/>
      <c r="J161" s="197"/>
      <c r="K161" s="197"/>
      <c r="O161" s="196"/>
      <c r="P161" s="196"/>
      <c r="Q161" s="196"/>
    </row>
    <row r="162" s="99" customFormat="1" spans="1:17">
      <c r="A162" s="194"/>
      <c r="B162" s="4"/>
      <c r="C162" s="195"/>
      <c r="D162" s="195"/>
      <c r="E162" s="195"/>
      <c r="F162" s="196"/>
      <c r="G162" s="196"/>
      <c r="H162" s="196"/>
      <c r="I162" s="197"/>
      <c r="J162" s="197"/>
      <c r="K162" s="197"/>
      <c r="O162" s="196"/>
      <c r="P162" s="196"/>
      <c r="Q162" s="196"/>
    </row>
    <row r="163" s="99" customFormat="1" spans="1:17">
      <c r="A163" s="194"/>
      <c r="B163" s="4"/>
      <c r="C163" s="195"/>
      <c r="D163" s="195"/>
      <c r="E163" s="195"/>
      <c r="F163" s="196"/>
      <c r="G163" s="196"/>
      <c r="H163" s="196"/>
      <c r="I163" s="197"/>
      <c r="J163" s="197"/>
      <c r="K163" s="197"/>
      <c r="O163" s="196"/>
      <c r="P163" s="196"/>
      <c r="Q163" s="196"/>
    </row>
    <row r="164" s="99" customFormat="1" spans="1:17">
      <c r="A164" s="194"/>
      <c r="B164" s="4"/>
      <c r="C164" s="195"/>
      <c r="D164" s="195"/>
      <c r="E164" s="195"/>
      <c r="F164" s="196"/>
      <c r="G164" s="196"/>
      <c r="H164" s="196"/>
      <c r="I164" s="197"/>
      <c r="J164" s="197"/>
      <c r="K164" s="197"/>
      <c r="O164" s="196"/>
      <c r="P164" s="196"/>
      <c r="Q164" s="196"/>
    </row>
    <row r="165" s="99" customFormat="1" spans="1:17">
      <c r="A165" s="194"/>
      <c r="B165" s="4"/>
      <c r="C165" s="195"/>
      <c r="D165" s="195"/>
      <c r="E165" s="195"/>
      <c r="F165" s="196"/>
      <c r="G165" s="196"/>
      <c r="H165" s="196"/>
      <c r="I165" s="197"/>
      <c r="J165" s="197"/>
      <c r="K165" s="197"/>
      <c r="O165" s="196"/>
      <c r="P165" s="196"/>
      <c r="Q165" s="196"/>
    </row>
    <row r="166" s="99" customFormat="1" spans="1:17">
      <c r="A166" s="194"/>
      <c r="B166" s="4"/>
      <c r="C166" s="195"/>
      <c r="D166" s="195"/>
      <c r="E166" s="195"/>
      <c r="F166" s="196"/>
      <c r="G166" s="196"/>
      <c r="H166" s="196"/>
      <c r="I166" s="197"/>
      <c r="J166" s="197"/>
      <c r="K166" s="197"/>
      <c r="O166" s="196"/>
      <c r="P166" s="196"/>
      <c r="Q166" s="196"/>
    </row>
    <row r="167" s="99" customFormat="1" spans="1:17">
      <c r="A167" s="194"/>
      <c r="B167" s="4"/>
      <c r="C167" s="195"/>
      <c r="D167" s="195"/>
      <c r="E167" s="195"/>
      <c r="F167" s="196"/>
      <c r="G167" s="196"/>
      <c r="H167" s="196"/>
      <c r="I167" s="197"/>
      <c r="J167" s="197"/>
      <c r="K167" s="197"/>
      <c r="O167" s="196"/>
      <c r="P167" s="196"/>
      <c r="Q167" s="196"/>
    </row>
    <row r="168" s="99" customFormat="1" spans="1:17">
      <c r="A168" s="194"/>
      <c r="B168" s="4"/>
      <c r="C168" s="195"/>
      <c r="D168" s="195"/>
      <c r="E168" s="195"/>
      <c r="F168" s="196"/>
      <c r="G168" s="196"/>
      <c r="H168" s="196"/>
      <c r="I168" s="197"/>
      <c r="J168" s="197"/>
      <c r="K168" s="197"/>
      <c r="O168" s="196"/>
      <c r="P168" s="196"/>
      <c r="Q168" s="196"/>
    </row>
    <row r="169" s="99" customFormat="1" spans="1:17">
      <c r="A169" s="194"/>
      <c r="B169" s="4"/>
      <c r="C169" s="195"/>
      <c r="D169" s="195"/>
      <c r="E169" s="195"/>
      <c r="F169" s="196"/>
      <c r="G169" s="196"/>
      <c r="H169" s="196"/>
      <c r="I169" s="197"/>
      <c r="J169" s="197"/>
      <c r="K169" s="197"/>
      <c r="O169" s="196"/>
      <c r="P169" s="196"/>
      <c r="Q169" s="196"/>
    </row>
    <row r="170" s="99" customFormat="1" spans="1:17">
      <c r="A170" s="194"/>
      <c r="B170" s="4"/>
      <c r="C170" s="195"/>
      <c r="D170" s="195"/>
      <c r="E170" s="195"/>
      <c r="F170" s="196"/>
      <c r="G170" s="196"/>
      <c r="H170" s="196"/>
      <c r="I170" s="197"/>
      <c r="J170" s="197"/>
      <c r="K170" s="197"/>
      <c r="O170" s="196"/>
      <c r="P170" s="196"/>
      <c r="Q170" s="196"/>
    </row>
    <row r="171" s="99" customFormat="1" spans="1:17">
      <c r="A171" s="194"/>
      <c r="B171" s="4"/>
      <c r="C171" s="195"/>
      <c r="D171" s="195"/>
      <c r="E171" s="195"/>
      <c r="F171" s="196"/>
      <c r="G171" s="196"/>
      <c r="H171" s="196"/>
      <c r="I171" s="197"/>
      <c r="J171" s="197"/>
      <c r="K171" s="197"/>
      <c r="O171" s="196"/>
      <c r="P171" s="196"/>
      <c r="Q171" s="196"/>
    </row>
    <row r="172" s="99" customFormat="1" spans="1:17">
      <c r="A172" s="194"/>
      <c r="B172" s="4"/>
      <c r="C172" s="195"/>
      <c r="D172" s="195"/>
      <c r="E172" s="195"/>
      <c r="F172" s="196"/>
      <c r="G172" s="196"/>
      <c r="H172" s="196"/>
      <c r="I172" s="197"/>
      <c r="J172" s="197"/>
      <c r="K172" s="197"/>
      <c r="O172" s="196"/>
      <c r="P172" s="196"/>
      <c r="Q172" s="196"/>
    </row>
    <row r="173" s="99" customFormat="1" spans="1:17">
      <c r="A173" s="194"/>
      <c r="B173" s="4"/>
      <c r="C173" s="195"/>
      <c r="D173" s="195"/>
      <c r="E173" s="195"/>
      <c r="F173" s="196"/>
      <c r="G173" s="196"/>
      <c r="H173" s="196"/>
      <c r="I173" s="197"/>
      <c r="J173" s="197"/>
      <c r="K173" s="197"/>
      <c r="O173" s="196"/>
      <c r="P173" s="196"/>
      <c r="Q173" s="196"/>
    </row>
    <row r="174" s="99" customFormat="1" spans="1:17">
      <c r="A174" s="194"/>
      <c r="B174" s="4"/>
      <c r="C174" s="195"/>
      <c r="D174" s="195"/>
      <c r="E174" s="195"/>
      <c r="F174" s="196"/>
      <c r="G174" s="196"/>
      <c r="H174" s="196"/>
      <c r="I174" s="197"/>
      <c r="J174" s="197"/>
      <c r="K174" s="197"/>
      <c r="O174" s="196"/>
      <c r="P174" s="196"/>
      <c r="Q174" s="196"/>
    </row>
    <row r="175" s="99" customFormat="1" spans="1:17">
      <c r="A175" s="194"/>
      <c r="B175" s="4"/>
      <c r="C175" s="195"/>
      <c r="D175" s="195"/>
      <c r="E175" s="195"/>
      <c r="F175" s="196"/>
      <c r="G175" s="196"/>
      <c r="H175" s="196"/>
      <c r="I175" s="197"/>
      <c r="J175" s="197"/>
      <c r="K175" s="197"/>
      <c r="O175" s="196"/>
      <c r="P175" s="196"/>
      <c r="Q175" s="196"/>
    </row>
    <row r="176" s="99" customFormat="1" spans="1:17">
      <c r="A176" s="194"/>
      <c r="B176" s="4"/>
      <c r="C176" s="195"/>
      <c r="D176" s="195"/>
      <c r="E176" s="195"/>
      <c r="F176" s="196"/>
      <c r="G176" s="196"/>
      <c r="H176" s="196"/>
      <c r="I176" s="197"/>
      <c r="J176" s="197"/>
      <c r="K176" s="197"/>
      <c r="O176" s="196"/>
      <c r="P176" s="196"/>
      <c r="Q176" s="196"/>
    </row>
    <row r="177" s="99" customFormat="1" spans="1:17">
      <c r="A177" s="194"/>
      <c r="B177" s="4"/>
      <c r="C177" s="195"/>
      <c r="D177" s="195"/>
      <c r="E177" s="195"/>
      <c r="F177" s="196"/>
      <c r="G177" s="196"/>
      <c r="H177" s="196"/>
      <c r="I177" s="197"/>
      <c r="J177" s="197"/>
      <c r="K177" s="197"/>
      <c r="O177" s="196"/>
      <c r="P177" s="196"/>
      <c r="Q177" s="196"/>
    </row>
    <row r="178" s="99" customFormat="1" spans="1:17">
      <c r="A178" s="194"/>
      <c r="B178" s="4"/>
      <c r="C178" s="195"/>
      <c r="D178" s="195"/>
      <c r="E178" s="195"/>
      <c r="F178" s="196"/>
      <c r="G178" s="196"/>
      <c r="H178" s="196"/>
      <c r="I178" s="197"/>
      <c r="J178" s="197"/>
      <c r="K178" s="197"/>
      <c r="O178" s="196"/>
      <c r="P178" s="196"/>
      <c r="Q178" s="196"/>
    </row>
    <row r="179" s="99" customFormat="1" spans="1:17">
      <c r="A179" s="194"/>
      <c r="B179" s="4"/>
      <c r="C179" s="195"/>
      <c r="D179" s="195"/>
      <c r="E179" s="195"/>
      <c r="F179" s="196"/>
      <c r="G179" s="196"/>
      <c r="H179" s="196"/>
      <c r="I179" s="197"/>
      <c r="J179" s="197"/>
      <c r="K179" s="197"/>
      <c r="O179" s="196"/>
      <c r="P179" s="196"/>
      <c r="Q179" s="196"/>
    </row>
    <row r="180" s="99" customFormat="1" spans="1:17">
      <c r="A180" s="194"/>
      <c r="B180" s="4"/>
      <c r="C180" s="195"/>
      <c r="D180" s="195"/>
      <c r="E180" s="195"/>
      <c r="F180" s="196"/>
      <c r="G180" s="196"/>
      <c r="H180" s="196"/>
      <c r="I180" s="197"/>
      <c r="J180" s="197"/>
      <c r="K180" s="197"/>
      <c r="O180" s="196"/>
      <c r="P180" s="196"/>
      <c r="Q180" s="196"/>
    </row>
    <row r="181" s="99" customFormat="1" spans="1:17">
      <c r="A181" s="194"/>
      <c r="B181" s="4"/>
      <c r="C181" s="195"/>
      <c r="D181" s="195"/>
      <c r="E181" s="195"/>
      <c r="F181" s="196"/>
      <c r="G181" s="196"/>
      <c r="H181" s="196"/>
      <c r="I181" s="197"/>
      <c r="J181" s="197"/>
      <c r="K181" s="197"/>
      <c r="O181" s="196"/>
      <c r="P181" s="196"/>
      <c r="Q181" s="196"/>
    </row>
    <row r="182" s="99" customFormat="1" spans="1:17">
      <c r="A182" s="194"/>
      <c r="B182" s="4"/>
      <c r="C182" s="195"/>
      <c r="D182" s="195"/>
      <c r="E182" s="195"/>
      <c r="F182" s="196"/>
      <c r="G182" s="196"/>
      <c r="H182" s="196"/>
      <c r="I182" s="197"/>
      <c r="J182" s="197"/>
      <c r="K182" s="197"/>
      <c r="O182" s="196"/>
      <c r="P182" s="196"/>
      <c r="Q182" s="196"/>
    </row>
    <row r="183" s="99" customFormat="1" spans="1:17">
      <c r="A183" s="194"/>
      <c r="B183" s="4"/>
      <c r="C183" s="195"/>
      <c r="D183" s="195"/>
      <c r="E183" s="195"/>
      <c r="F183" s="196"/>
      <c r="G183" s="196"/>
      <c r="H183" s="196"/>
      <c r="I183" s="197"/>
      <c r="J183" s="197"/>
      <c r="K183" s="197"/>
      <c r="O183" s="196"/>
      <c r="P183" s="196"/>
      <c r="Q183" s="196"/>
    </row>
    <row r="184" s="99" customFormat="1" spans="1:17">
      <c r="A184" s="194"/>
      <c r="B184" s="4"/>
      <c r="C184" s="195"/>
      <c r="D184" s="195"/>
      <c r="E184" s="195"/>
      <c r="F184" s="196"/>
      <c r="G184" s="196"/>
      <c r="H184" s="196"/>
      <c r="I184" s="197"/>
      <c r="J184" s="197"/>
      <c r="K184" s="197"/>
      <c r="O184" s="196"/>
      <c r="P184" s="196"/>
      <c r="Q184" s="196"/>
    </row>
    <row r="185" s="99" customFormat="1" spans="1:17">
      <c r="A185" s="194"/>
      <c r="B185" s="4"/>
      <c r="C185" s="195"/>
      <c r="D185" s="195"/>
      <c r="E185" s="195"/>
      <c r="F185" s="196"/>
      <c r="G185" s="196"/>
      <c r="H185" s="196"/>
      <c r="I185" s="197"/>
      <c r="J185" s="197"/>
      <c r="K185" s="197"/>
      <c r="O185" s="196"/>
      <c r="P185" s="196"/>
      <c r="Q185" s="196"/>
    </row>
    <row r="186" s="99" customFormat="1" spans="1:17">
      <c r="A186" s="194"/>
      <c r="B186" s="4"/>
      <c r="C186" s="195"/>
      <c r="D186" s="195"/>
      <c r="E186" s="195"/>
      <c r="F186" s="196"/>
      <c r="G186" s="196"/>
      <c r="H186" s="196"/>
      <c r="I186" s="197"/>
      <c r="J186" s="197"/>
      <c r="K186" s="197"/>
      <c r="O186" s="196"/>
      <c r="P186" s="196"/>
      <c r="Q186" s="196"/>
    </row>
    <row r="187" s="99" customFormat="1" spans="1:17">
      <c r="A187" s="194"/>
      <c r="B187" s="4"/>
      <c r="C187" s="195"/>
      <c r="D187" s="195"/>
      <c r="E187" s="195"/>
      <c r="F187" s="196"/>
      <c r="G187" s="196"/>
      <c r="H187" s="196"/>
      <c r="I187" s="197"/>
      <c r="J187" s="197"/>
      <c r="K187" s="197"/>
      <c r="O187" s="196"/>
      <c r="P187" s="196"/>
      <c r="Q187" s="196"/>
    </row>
    <row r="188" s="99" customFormat="1" spans="1:17">
      <c r="A188" s="194"/>
      <c r="B188" s="4"/>
      <c r="C188" s="195"/>
      <c r="D188" s="195"/>
      <c r="E188" s="195"/>
      <c r="F188" s="196"/>
      <c r="G188" s="196"/>
      <c r="H188" s="196"/>
      <c r="I188" s="197"/>
      <c r="J188" s="197"/>
      <c r="K188" s="197"/>
      <c r="O188" s="196"/>
      <c r="P188" s="196"/>
      <c r="Q188" s="196"/>
    </row>
    <row r="189" s="99" customFormat="1" spans="1:17">
      <c r="A189" s="194"/>
      <c r="B189" s="4"/>
      <c r="C189" s="195"/>
      <c r="D189" s="195"/>
      <c r="E189" s="195"/>
      <c r="F189" s="196"/>
      <c r="G189" s="196"/>
      <c r="H189" s="196"/>
      <c r="I189" s="197"/>
      <c r="J189" s="197"/>
      <c r="K189" s="197"/>
      <c r="O189" s="196"/>
      <c r="P189" s="196"/>
      <c r="Q189" s="196"/>
    </row>
    <row r="190" s="99" customFormat="1" spans="1:17">
      <c r="A190" s="194"/>
      <c r="B190" s="4"/>
      <c r="C190" s="195"/>
      <c r="D190" s="195"/>
      <c r="E190" s="195"/>
      <c r="F190" s="196"/>
      <c r="G190" s="196"/>
      <c r="H190" s="196"/>
      <c r="I190" s="197"/>
      <c r="J190" s="197"/>
      <c r="K190" s="197"/>
      <c r="O190" s="196"/>
      <c r="P190" s="196"/>
      <c r="Q190" s="196"/>
    </row>
    <row r="191" s="99" customFormat="1" spans="1:17">
      <c r="A191" s="194"/>
      <c r="B191" s="4"/>
      <c r="C191" s="195"/>
      <c r="D191" s="195"/>
      <c r="E191" s="195"/>
      <c r="F191" s="196"/>
      <c r="G191" s="196"/>
      <c r="H191" s="196"/>
      <c r="I191" s="197"/>
      <c r="J191" s="197"/>
      <c r="K191" s="197"/>
      <c r="O191" s="196"/>
      <c r="P191" s="196"/>
      <c r="Q191" s="196"/>
    </row>
    <row r="192" s="99" customFormat="1" spans="1:17">
      <c r="A192" s="194"/>
      <c r="B192" s="4"/>
      <c r="C192" s="195"/>
      <c r="D192" s="195"/>
      <c r="E192" s="195"/>
      <c r="F192" s="196"/>
      <c r="G192" s="196"/>
      <c r="H192" s="196"/>
      <c r="I192" s="197"/>
      <c r="J192" s="197"/>
      <c r="K192" s="197"/>
      <c r="O192" s="196"/>
      <c r="P192" s="196"/>
      <c r="Q192" s="196"/>
    </row>
    <row r="193" s="99" customFormat="1" spans="1:17">
      <c r="A193" s="194"/>
      <c r="B193" s="4"/>
      <c r="C193" s="195"/>
      <c r="D193" s="195"/>
      <c r="E193" s="195"/>
      <c r="F193" s="196"/>
      <c r="G193" s="196"/>
      <c r="H193" s="196"/>
      <c r="I193" s="197"/>
      <c r="J193" s="197"/>
      <c r="K193" s="197"/>
      <c r="O193" s="196"/>
      <c r="P193" s="196"/>
      <c r="Q193" s="196"/>
    </row>
    <row r="194" s="99" customFormat="1" spans="1:17">
      <c r="A194" s="194"/>
      <c r="B194" s="4"/>
      <c r="C194" s="195"/>
      <c r="D194" s="195"/>
      <c r="E194" s="195"/>
      <c r="F194" s="196"/>
      <c r="G194" s="196"/>
      <c r="H194" s="196"/>
      <c r="I194" s="197"/>
      <c r="J194" s="197"/>
      <c r="K194" s="197"/>
      <c r="O194" s="196"/>
      <c r="P194" s="196"/>
      <c r="Q194" s="196"/>
    </row>
    <row r="195" s="99" customFormat="1" spans="1:17">
      <c r="A195" s="194"/>
      <c r="B195" s="4"/>
      <c r="C195" s="195"/>
      <c r="D195" s="195"/>
      <c r="E195" s="195"/>
      <c r="F195" s="196"/>
      <c r="G195" s="196"/>
      <c r="H195" s="196"/>
      <c r="I195" s="197"/>
      <c r="J195" s="197"/>
      <c r="K195" s="197"/>
      <c r="O195" s="196"/>
      <c r="P195" s="196"/>
      <c r="Q195" s="196"/>
    </row>
    <row r="196" s="99" customFormat="1" spans="1:17">
      <c r="A196" s="194"/>
      <c r="B196" s="4"/>
      <c r="C196" s="195"/>
      <c r="D196" s="195"/>
      <c r="E196" s="195"/>
      <c r="F196" s="196"/>
      <c r="G196" s="196"/>
      <c r="H196" s="196"/>
      <c r="I196" s="197"/>
      <c r="J196" s="197"/>
      <c r="K196" s="197"/>
      <c r="O196" s="196"/>
      <c r="P196" s="196"/>
      <c r="Q196" s="196"/>
    </row>
    <row r="197" s="99" customFormat="1" spans="1:17">
      <c r="A197" s="194"/>
      <c r="B197" s="4"/>
      <c r="C197" s="195"/>
      <c r="D197" s="195"/>
      <c r="E197" s="195"/>
      <c r="F197" s="196"/>
      <c r="G197" s="196"/>
      <c r="H197" s="196"/>
      <c r="I197" s="197"/>
      <c r="J197" s="197"/>
      <c r="K197" s="197"/>
      <c r="O197" s="196"/>
      <c r="P197" s="196"/>
      <c r="Q197" s="196"/>
    </row>
    <row r="198" s="99" customFormat="1" spans="1:17">
      <c r="A198" s="194"/>
      <c r="B198" s="4"/>
      <c r="C198" s="195"/>
      <c r="D198" s="195"/>
      <c r="E198" s="195"/>
      <c r="F198" s="196"/>
      <c r="G198" s="196"/>
      <c r="H198" s="196"/>
      <c r="I198" s="197"/>
      <c r="J198" s="197"/>
      <c r="K198" s="197"/>
      <c r="O198" s="196"/>
      <c r="P198" s="196"/>
      <c r="Q198" s="196"/>
    </row>
    <row r="199" s="99" customFormat="1" spans="1:17">
      <c r="A199" s="194"/>
      <c r="B199" s="4"/>
      <c r="C199" s="195"/>
      <c r="D199" s="195"/>
      <c r="E199" s="195"/>
      <c r="F199" s="196"/>
      <c r="G199" s="196"/>
      <c r="H199" s="196"/>
      <c r="I199" s="197"/>
      <c r="J199" s="197"/>
      <c r="K199" s="197"/>
      <c r="O199" s="196"/>
      <c r="P199" s="196"/>
      <c r="Q199" s="196"/>
    </row>
    <row r="200" s="99" customFormat="1" spans="1:17">
      <c r="A200" s="194"/>
      <c r="B200" s="4"/>
      <c r="C200" s="195"/>
      <c r="D200" s="195"/>
      <c r="E200" s="195"/>
      <c r="F200" s="196"/>
      <c r="G200" s="196"/>
      <c r="H200" s="196"/>
      <c r="I200" s="197"/>
      <c r="J200" s="197"/>
      <c r="K200" s="197"/>
      <c r="O200" s="196"/>
      <c r="P200" s="196"/>
      <c r="Q200" s="196"/>
    </row>
    <row r="201" s="99" customFormat="1" spans="1:17">
      <c r="A201" s="194"/>
      <c r="B201" s="4"/>
      <c r="C201" s="195"/>
      <c r="D201" s="195"/>
      <c r="E201" s="195"/>
      <c r="F201" s="196"/>
      <c r="G201" s="196"/>
      <c r="H201" s="196"/>
      <c r="I201" s="197"/>
      <c r="J201" s="197"/>
      <c r="K201" s="197"/>
      <c r="O201" s="196"/>
      <c r="P201" s="196"/>
      <c r="Q201" s="196"/>
    </row>
    <row r="202" s="99" customFormat="1" spans="1:17">
      <c r="A202" s="194"/>
      <c r="B202" s="4"/>
      <c r="C202" s="195"/>
      <c r="D202" s="195"/>
      <c r="E202" s="195"/>
      <c r="F202" s="196"/>
      <c r="G202" s="196"/>
      <c r="H202" s="196"/>
      <c r="I202" s="197"/>
      <c r="J202" s="197"/>
      <c r="K202" s="197"/>
      <c r="O202" s="196"/>
      <c r="P202" s="196"/>
      <c r="Q202" s="196"/>
    </row>
    <row r="203" s="99" customFormat="1" spans="1:17">
      <c r="A203" s="194"/>
      <c r="B203" s="4"/>
      <c r="C203" s="195"/>
      <c r="D203" s="195"/>
      <c r="E203" s="195"/>
      <c r="F203" s="196"/>
      <c r="G203" s="196"/>
      <c r="H203" s="196"/>
      <c r="I203" s="197"/>
      <c r="J203" s="197"/>
      <c r="K203" s="197"/>
      <c r="O203" s="196"/>
      <c r="P203" s="196"/>
      <c r="Q203" s="196"/>
    </row>
    <row r="204" s="99" customFormat="1" spans="1:17">
      <c r="A204" s="194"/>
      <c r="B204" s="4"/>
      <c r="C204" s="195"/>
      <c r="D204" s="195"/>
      <c r="E204" s="195"/>
      <c r="F204" s="196"/>
      <c r="G204" s="196"/>
      <c r="H204" s="196"/>
      <c r="I204" s="197"/>
      <c r="J204" s="197"/>
      <c r="K204" s="197"/>
      <c r="O204" s="196"/>
      <c r="P204" s="196"/>
      <c r="Q204" s="196"/>
    </row>
    <row r="205" s="99" customFormat="1" spans="1:17">
      <c r="A205" s="194"/>
      <c r="B205" s="4"/>
      <c r="C205" s="195"/>
      <c r="D205" s="195"/>
      <c r="E205" s="195"/>
      <c r="F205" s="196"/>
      <c r="G205" s="196"/>
      <c r="H205" s="196"/>
      <c r="I205" s="197"/>
      <c r="J205" s="197"/>
      <c r="K205" s="197"/>
      <c r="O205" s="196"/>
      <c r="P205" s="196"/>
      <c r="Q205" s="196"/>
    </row>
    <row r="206" s="99" customFormat="1" spans="1:17">
      <c r="A206" s="194"/>
      <c r="B206" s="4"/>
      <c r="C206" s="195"/>
      <c r="D206" s="195"/>
      <c r="E206" s="195"/>
      <c r="F206" s="196"/>
      <c r="G206" s="196"/>
      <c r="H206" s="196"/>
      <c r="I206" s="197"/>
      <c r="J206" s="197"/>
      <c r="K206" s="197"/>
      <c r="O206" s="196"/>
      <c r="P206" s="196"/>
      <c r="Q206" s="196"/>
    </row>
    <row r="207" s="99" customFormat="1" spans="1:17">
      <c r="A207" s="194"/>
      <c r="B207" s="4"/>
      <c r="C207" s="195"/>
      <c r="D207" s="195"/>
      <c r="E207" s="195"/>
      <c r="F207" s="196"/>
      <c r="G207" s="196"/>
      <c r="H207" s="196"/>
      <c r="I207" s="197"/>
      <c r="J207" s="197"/>
      <c r="K207" s="197"/>
      <c r="O207" s="196"/>
      <c r="P207" s="196"/>
      <c r="Q207" s="196"/>
    </row>
    <row r="208" s="99" customFormat="1" spans="1:17">
      <c r="A208" s="194"/>
      <c r="B208" s="4"/>
      <c r="C208" s="195"/>
      <c r="D208" s="195"/>
      <c r="E208" s="195"/>
      <c r="F208" s="196"/>
      <c r="G208" s="196"/>
      <c r="H208" s="196"/>
      <c r="I208" s="197"/>
      <c r="J208" s="197"/>
      <c r="K208" s="197"/>
      <c r="O208" s="196"/>
      <c r="P208" s="196"/>
      <c r="Q208" s="196"/>
    </row>
    <row r="209" s="99" customFormat="1" spans="1:17">
      <c r="A209" s="194"/>
      <c r="B209" s="4"/>
      <c r="C209" s="195"/>
      <c r="D209" s="195"/>
      <c r="E209" s="195"/>
      <c r="F209" s="196"/>
      <c r="G209" s="196"/>
      <c r="H209" s="196"/>
      <c r="I209" s="197"/>
      <c r="J209" s="197"/>
      <c r="K209" s="197"/>
      <c r="O209" s="196"/>
      <c r="P209" s="196"/>
      <c r="Q209" s="196"/>
    </row>
    <row r="210" s="99" customFormat="1" spans="1:17">
      <c r="A210" s="194"/>
      <c r="B210" s="4"/>
      <c r="C210" s="195"/>
      <c r="D210" s="195"/>
      <c r="E210" s="195"/>
      <c r="F210" s="196"/>
      <c r="G210" s="196"/>
      <c r="H210" s="196"/>
      <c r="I210" s="197"/>
      <c r="J210" s="197"/>
      <c r="K210" s="197"/>
      <c r="O210" s="196"/>
      <c r="P210" s="196"/>
      <c r="Q210" s="196"/>
    </row>
    <row r="211" s="99" customFormat="1" spans="1:17">
      <c r="A211" s="194"/>
      <c r="B211" s="4"/>
      <c r="C211" s="195"/>
      <c r="D211" s="195"/>
      <c r="E211" s="195"/>
      <c r="F211" s="196"/>
      <c r="G211" s="196"/>
      <c r="H211" s="196"/>
      <c r="I211" s="197"/>
      <c r="J211" s="197"/>
      <c r="K211" s="197"/>
      <c r="O211" s="196"/>
      <c r="P211" s="196"/>
      <c r="Q211" s="196"/>
    </row>
    <row r="212" s="99" customFormat="1" spans="1:17">
      <c r="A212" s="194"/>
      <c r="B212" s="4"/>
      <c r="C212" s="195"/>
      <c r="D212" s="195"/>
      <c r="E212" s="195"/>
      <c r="F212" s="196"/>
      <c r="G212" s="196"/>
      <c r="H212" s="196"/>
      <c r="I212" s="197"/>
      <c r="J212" s="197"/>
      <c r="K212" s="197"/>
      <c r="O212" s="196"/>
      <c r="P212" s="196"/>
      <c r="Q212" s="196"/>
    </row>
    <row r="213" s="99" customFormat="1" spans="1:17">
      <c r="A213" s="194"/>
      <c r="B213" s="4"/>
      <c r="C213" s="195"/>
      <c r="D213" s="195"/>
      <c r="E213" s="195"/>
      <c r="F213" s="196"/>
      <c r="G213" s="196"/>
      <c r="H213" s="196"/>
      <c r="I213" s="197"/>
      <c r="J213" s="197"/>
      <c r="K213" s="197"/>
      <c r="O213" s="196"/>
      <c r="P213" s="196"/>
      <c r="Q213" s="196"/>
    </row>
    <row r="214" s="99" customFormat="1" spans="1:17">
      <c r="A214" s="194"/>
      <c r="B214" s="4"/>
      <c r="C214" s="195"/>
      <c r="D214" s="195"/>
      <c r="E214" s="195"/>
      <c r="F214" s="196"/>
      <c r="G214" s="196"/>
      <c r="H214" s="196"/>
      <c r="I214" s="197"/>
      <c r="J214" s="197"/>
      <c r="K214" s="197"/>
      <c r="O214" s="196"/>
      <c r="P214" s="196"/>
      <c r="Q214" s="196"/>
    </row>
    <row r="215" s="99" customFormat="1" spans="1:17">
      <c r="A215" s="194"/>
      <c r="B215" s="4"/>
      <c r="C215" s="195"/>
      <c r="D215" s="195"/>
      <c r="E215" s="195"/>
      <c r="F215" s="196"/>
      <c r="G215" s="196"/>
      <c r="H215" s="196"/>
      <c r="I215" s="197"/>
      <c r="J215" s="197"/>
      <c r="K215" s="197"/>
      <c r="O215" s="196"/>
      <c r="P215" s="196"/>
      <c r="Q215" s="196"/>
    </row>
    <row r="216" s="99" customFormat="1" spans="1:17">
      <c r="A216" s="194"/>
      <c r="B216" s="4"/>
      <c r="C216" s="195"/>
      <c r="D216" s="195"/>
      <c r="E216" s="195"/>
      <c r="F216" s="196"/>
      <c r="G216" s="196"/>
      <c r="H216" s="196"/>
      <c r="I216" s="197"/>
      <c r="J216" s="197"/>
      <c r="K216" s="197"/>
      <c r="O216" s="196"/>
      <c r="P216" s="196"/>
      <c r="Q216" s="196"/>
    </row>
    <row r="217" s="99" customFormat="1" spans="1:17">
      <c r="A217" s="194"/>
      <c r="B217" s="4"/>
      <c r="C217" s="195"/>
      <c r="D217" s="195"/>
      <c r="E217" s="195"/>
      <c r="F217" s="196"/>
      <c r="G217" s="196"/>
      <c r="H217" s="196"/>
      <c r="I217" s="197"/>
      <c r="J217" s="197"/>
      <c r="K217" s="197"/>
      <c r="O217" s="196"/>
      <c r="P217" s="196"/>
      <c r="Q217" s="196"/>
    </row>
    <row r="218" s="99" customFormat="1" spans="1:17">
      <c r="A218" s="194"/>
      <c r="B218" s="4"/>
      <c r="C218" s="195"/>
      <c r="D218" s="195"/>
      <c r="E218" s="195"/>
      <c r="F218" s="196"/>
      <c r="G218" s="196"/>
      <c r="H218" s="196"/>
      <c r="I218" s="197"/>
      <c r="J218" s="197"/>
      <c r="K218" s="197"/>
      <c r="O218" s="196"/>
      <c r="P218" s="196"/>
      <c r="Q218" s="196"/>
    </row>
    <row r="219" s="99" customFormat="1" spans="1:17">
      <c r="A219" s="194"/>
      <c r="B219" s="4"/>
      <c r="C219" s="195"/>
      <c r="D219" s="195"/>
      <c r="E219" s="195"/>
      <c r="F219" s="196"/>
      <c r="G219" s="196"/>
      <c r="H219" s="196"/>
      <c r="I219" s="197"/>
      <c r="J219" s="197"/>
      <c r="K219" s="197"/>
      <c r="O219" s="196"/>
      <c r="P219" s="196"/>
      <c r="Q219" s="196"/>
    </row>
    <row r="220" s="99" customFormat="1" spans="1:17">
      <c r="A220" s="194"/>
      <c r="B220" s="4"/>
      <c r="C220" s="195"/>
      <c r="D220" s="195"/>
      <c r="E220" s="195"/>
      <c r="F220" s="196"/>
      <c r="G220" s="196"/>
      <c r="H220" s="196"/>
      <c r="I220" s="197"/>
      <c r="J220" s="197"/>
      <c r="K220" s="197"/>
      <c r="O220" s="196"/>
      <c r="P220" s="196"/>
      <c r="Q220" s="196"/>
    </row>
    <row r="221" s="99" customFormat="1" spans="1:17">
      <c r="A221" s="194"/>
      <c r="B221" s="4"/>
      <c r="C221" s="195"/>
      <c r="D221" s="195"/>
      <c r="E221" s="195"/>
      <c r="F221" s="196"/>
      <c r="G221" s="196"/>
      <c r="H221" s="196"/>
      <c r="I221" s="197"/>
      <c r="J221" s="197"/>
      <c r="K221" s="197"/>
      <c r="O221" s="196"/>
      <c r="P221" s="196"/>
      <c r="Q221" s="196"/>
    </row>
    <row r="222" s="99" customFormat="1" spans="1:17">
      <c r="A222" s="194"/>
      <c r="B222" s="4"/>
      <c r="C222" s="195"/>
      <c r="D222" s="195"/>
      <c r="E222" s="195"/>
      <c r="F222" s="196"/>
      <c r="G222" s="196"/>
      <c r="H222" s="196"/>
      <c r="I222" s="197"/>
      <c r="J222" s="197"/>
      <c r="K222" s="197"/>
      <c r="O222" s="196"/>
      <c r="P222" s="196"/>
      <c r="Q222" s="196"/>
    </row>
    <row r="223" s="99" customFormat="1" spans="1:17">
      <c r="A223" s="194"/>
      <c r="B223" s="4"/>
      <c r="C223" s="195"/>
      <c r="D223" s="195"/>
      <c r="E223" s="195"/>
      <c r="F223" s="196"/>
      <c r="G223" s="196"/>
      <c r="H223" s="196"/>
      <c r="I223" s="197"/>
      <c r="J223" s="197"/>
      <c r="K223" s="197"/>
      <c r="O223" s="196"/>
      <c r="P223" s="196"/>
      <c r="Q223" s="196"/>
    </row>
    <row r="224" s="99" customFormat="1" spans="1:17">
      <c r="A224" s="194"/>
      <c r="B224" s="4"/>
      <c r="C224" s="195"/>
      <c r="D224" s="195"/>
      <c r="E224" s="195"/>
      <c r="F224" s="196"/>
      <c r="G224" s="196"/>
      <c r="H224" s="196"/>
      <c r="I224" s="197"/>
      <c r="J224" s="197"/>
      <c r="K224" s="197"/>
      <c r="O224" s="196"/>
      <c r="P224" s="196"/>
      <c r="Q224" s="196"/>
    </row>
    <row r="225" s="99" customFormat="1" spans="1:17">
      <c r="A225" s="194"/>
      <c r="B225" s="4"/>
      <c r="C225" s="195"/>
      <c r="D225" s="195"/>
      <c r="E225" s="195"/>
      <c r="F225" s="196"/>
      <c r="G225" s="196"/>
      <c r="H225" s="196"/>
      <c r="I225" s="197"/>
      <c r="J225" s="197"/>
      <c r="K225" s="197"/>
      <c r="O225" s="196"/>
      <c r="P225" s="196"/>
      <c r="Q225" s="196"/>
    </row>
    <row r="226" s="99" customFormat="1" spans="1:17">
      <c r="A226" s="194"/>
      <c r="B226" s="4"/>
      <c r="C226" s="195"/>
      <c r="D226" s="195"/>
      <c r="E226" s="195"/>
      <c r="F226" s="196"/>
      <c r="G226" s="196"/>
      <c r="H226" s="196"/>
      <c r="I226" s="197"/>
      <c r="J226" s="197"/>
      <c r="K226" s="197"/>
      <c r="O226" s="196"/>
      <c r="P226" s="196"/>
      <c r="Q226" s="196"/>
    </row>
    <row r="227" s="99" customFormat="1" spans="1:17">
      <c r="A227" s="194"/>
      <c r="B227" s="4"/>
      <c r="C227" s="195"/>
      <c r="D227" s="195"/>
      <c r="E227" s="195"/>
      <c r="F227" s="196"/>
      <c r="G227" s="196"/>
      <c r="H227" s="196"/>
      <c r="I227" s="197"/>
      <c r="J227" s="197"/>
      <c r="K227" s="197"/>
      <c r="O227" s="196"/>
      <c r="P227" s="196"/>
      <c r="Q227" s="196"/>
    </row>
    <row r="228" s="99" customFormat="1" spans="1:17">
      <c r="A228" s="194"/>
      <c r="B228" s="4"/>
      <c r="C228" s="195"/>
      <c r="D228" s="195"/>
      <c r="E228" s="195"/>
      <c r="F228" s="196"/>
      <c r="G228" s="196"/>
      <c r="H228" s="196"/>
      <c r="I228" s="197"/>
      <c r="J228" s="197"/>
      <c r="K228" s="197"/>
      <c r="O228" s="196"/>
      <c r="P228" s="196"/>
      <c r="Q228" s="196"/>
    </row>
    <row r="229" s="99" customFormat="1" spans="1:17">
      <c r="A229" s="194"/>
      <c r="B229" s="4"/>
      <c r="C229" s="195"/>
      <c r="D229" s="195"/>
      <c r="E229" s="195"/>
      <c r="F229" s="196"/>
      <c r="G229" s="196"/>
      <c r="H229" s="196"/>
      <c r="I229" s="197"/>
      <c r="J229" s="197"/>
      <c r="K229" s="197"/>
      <c r="O229" s="196"/>
      <c r="P229" s="196"/>
      <c r="Q229" s="196"/>
    </row>
  </sheetData>
  <mergeCells count="7">
    <mergeCell ref="A1:K1"/>
    <mergeCell ref="C3:E3"/>
    <mergeCell ref="F3:H3"/>
    <mergeCell ref="I3:K3"/>
    <mergeCell ref="O3:Q3"/>
    <mergeCell ref="A3:A4"/>
    <mergeCell ref="B3:B4"/>
  </mergeCells>
  <printOptions horizontalCentered="1"/>
  <pageMargins left="0.393055555555556" right="0.393055555555556" top="0.786805555555556" bottom="0.590277777777778" header="0.5" footer="0.5"/>
  <pageSetup paperSize="9" fitToHeight="0" orientation="landscape" horizont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635"/>
  <sheetViews>
    <sheetView showZeros="0" workbookViewId="0">
      <selection activeCell="M16" sqref="M16"/>
    </sheetView>
  </sheetViews>
  <sheetFormatPr defaultColWidth="8" defaultRowHeight="15"/>
  <cols>
    <col min="1" max="1" width="11.375" style="1" customWidth="1"/>
    <col min="2" max="2" width="20.625" style="4" customWidth="1"/>
    <col min="3" max="3" width="6.625" style="1" customWidth="1"/>
    <col min="4" max="4" width="10.625" style="4" customWidth="1"/>
    <col min="5" max="5" width="20.625" style="4" customWidth="1"/>
    <col min="6" max="13" width="9.625" style="153" customWidth="1"/>
    <col min="14" max="14" width="12.625" style="153" customWidth="1"/>
    <col min="15" max="15" width="11.125" style="6"/>
    <col min="16" max="16370" width="8" style="6"/>
  </cols>
  <sheetData>
    <row r="1" s="1" customFormat="1" ht="32" customHeight="1" spans="1:14">
      <c r="A1" s="11" t="s">
        <v>1425</v>
      </c>
      <c r="B1" s="11"/>
      <c r="C1" s="11"/>
      <c r="D1" s="11"/>
      <c r="E1" s="11"/>
      <c r="F1" s="173"/>
      <c r="G1" s="173"/>
      <c r="H1" s="173"/>
      <c r="I1" s="173"/>
      <c r="J1" s="173"/>
      <c r="K1" s="173"/>
      <c r="L1" s="173"/>
      <c r="M1" s="173"/>
      <c r="N1" s="173"/>
    </row>
    <row r="2" s="1" customFormat="1" spans="1:14">
      <c r="A2" s="12"/>
      <c r="B2" s="4"/>
      <c r="D2" s="4"/>
      <c r="E2" s="4"/>
      <c r="F2" s="153"/>
      <c r="G2" s="153"/>
      <c r="H2" s="153"/>
      <c r="I2" s="153"/>
      <c r="J2" s="153"/>
      <c r="K2" s="153"/>
      <c r="L2" s="153"/>
      <c r="M2" s="153"/>
      <c r="N2" s="153"/>
    </row>
    <row r="3" s="1" customFormat="1" ht="18" customHeight="1" spans="1:14">
      <c r="A3" s="155" t="s">
        <v>1426</v>
      </c>
      <c r="B3" s="155" t="s">
        <v>861</v>
      </c>
      <c r="C3" s="155" t="s">
        <v>1427</v>
      </c>
      <c r="D3" s="155" t="s">
        <v>1428</v>
      </c>
      <c r="E3" s="155" t="s">
        <v>1429</v>
      </c>
      <c r="F3" s="175" t="s">
        <v>1273</v>
      </c>
      <c r="G3" s="175"/>
      <c r="H3" s="175"/>
      <c r="I3" s="174" t="s">
        <v>854</v>
      </c>
      <c r="J3" s="174" t="s">
        <v>855</v>
      </c>
      <c r="K3" s="175" t="s">
        <v>1430</v>
      </c>
      <c r="L3" s="174" t="s">
        <v>858</v>
      </c>
      <c r="M3" s="175" t="s">
        <v>8</v>
      </c>
      <c r="N3" s="174" t="s">
        <v>1431</v>
      </c>
    </row>
    <row r="4" s="1" customFormat="1" ht="54" customHeight="1" spans="1:14">
      <c r="A4" s="156"/>
      <c r="B4" s="156"/>
      <c r="C4" s="156"/>
      <c r="D4" s="156"/>
      <c r="E4" s="156"/>
      <c r="F4" s="174" t="s">
        <v>390</v>
      </c>
      <c r="G4" s="174" t="s">
        <v>1432</v>
      </c>
      <c r="H4" s="174" t="s">
        <v>1433</v>
      </c>
      <c r="I4" s="174"/>
      <c r="J4" s="174"/>
      <c r="K4" s="175"/>
      <c r="L4" s="174"/>
      <c r="M4" s="175"/>
      <c r="N4" s="174"/>
    </row>
    <row r="5" s="1" customFormat="1" ht="18" customHeight="1" spans="1:14">
      <c r="A5" s="158">
        <v>1</v>
      </c>
      <c r="B5" s="155">
        <v>2</v>
      </c>
      <c r="C5" s="158">
        <v>3</v>
      </c>
      <c r="D5" s="155">
        <v>4</v>
      </c>
      <c r="E5" s="155">
        <v>5</v>
      </c>
      <c r="F5" s="176"/>
      <c r="G5" s="176"/>
      <c r="H5" s="155"/>
      <c r="I5" s="155"/>
      <c r="J5" s="155"/>
      <c r="K5" s="176"/>
      <c r="L5" s="176"/>
      <c r="M5" s="176"/>
      <c r="N5" s="176"/>
    </row>
    <row r="6" s="1" customFormat="1" ht="26.25" customHeight="1" spans="1:14">
      <c r="A6" s="186"/>
      <c r="B6" s="187"/>
      <c r="C6" s="186"/>
      <c r="D6" s="188" t="s">
        <v>8</v>
      </c>
      <c r="E6" s="187">
        <f>F6-42933.70428</f>
        <v>0</v>
      </c>
      <c r="F6" s="162">
        <f t="shared" ref="F6:M6" si="0">F7+F17+F27+F37+F47+F53+F63+F73+F83+F93+F103+F113+F120+F127+F134+F144+F151+F161+F171+F181+F188+F198+F208+F215+F222+F229+F236+F243+F253+F261+F269+F277+F285+F293+F301+F309+F317+F325+F333+F341+F346+F356+F366+F373+F383+F393+F403+F413+F423+F433+F440+F450+F460+F468+F505+F515+F525+F574+F583+F620+F629</f>
        <v>42933.70428</v>
      </c>
      <c r="G6" s="162">
        <f t="shared" si="0"/>
        <v>42933.70428</v>
      </c>
      <c r="H6" s="162">
        <f t="shared" si="0"/>
        <v>0</v>
      </c>
      <c r="I6" s="162">
        <f t="shared" si="0"/>
        <v>0</v>
      </c>
      <c r="J6" s="162">
        <f t="shared" si="0"/>
        <v>1185.17</v>
      </c>
      <c r="K6" s="162">
        <f t="shared" si="0"/>
        <v>0</v>
      </c>
      <c r="L6" s="162">
        <f t="shared" si="0"/>
        <v>1356.894726</v>
      </c>
      <c r="M6" s="162">
        <f t="shared" si="0"/>
        <v>42761.979554</v>
      </c>
      <c r="N6" s="162"/>
    </row>
    <row r="7" s="1" customFormat="1" ht="26.25" customHeight="1" spans="1:14">
      <c r="A7" s="189" t="s">
        <v>1434</v>
      </c>
      <c r="B7" s="190" t="s">
        <v>1435</v>
      </c>
      <c r="C7" s="191"/>
      <c r="D7" s="192"/>
      <c r="E7" s="192"/>
      <c r="F7" s="167">
        <f t="shared" ref="F7:M7" si="1">SUM(F8:F16)</f>
        <v>988.469666</v>
      </c>
      <c r="G7" s="167">
        <f t="shared" si="1"/>
        <v>988.469666</v>
      </c>
      <c r="H7" s="167">
        <f t="shared" si="1"/>
        <v>0</v>
      </c>
      <c r="I7" s="167">
        <f t="shared" si="1"/>
        <v>0</v>
      </c>
      <c r="J7" s="167">
        <f t="shared" si="1"/>
        <v>85</v>
      </c>
      <c r="K7" s="167">
        <f t="shared" si="1"/>
        <v>0</v>
      </c>
      <c r="L7" s="167">
        <f t="shared" si="1"/>
        <v>0</v>
      </c>
      <c r="M7" s="167">
        <f t="shared" si="1"/>
        <v>1073.469666</v>
      </c>
      <c r="N7" s="167"/>
    </row>
    <row r="8" s="1" customFormat="1" ht="26.25" customHeight="1" spans="1:14">
      <c r="A8" s="168" t="s">
        <v>1436</v>
      </c>
      <c r="B8" s="169" t="s">
        <v>1437</v>
      </c>
      <c r="C8" s="170" t="s">
        <v>1438</v>
      </c>
      <c r="D8" s="169" t="s">
        <v>1439</v>
      </c>
      <c r="E8" s="169" t="s">
        <v>1440</v>
      </c>
      <c r="F8" s="180">
        <f t="shared" ref="F8:F16" si="2">SUM(G8:H8)</f>
        <v>437.07868</v>
      </c>
      <c r="G8" s="180">
        <v>437.07868</v>
      </c>
      <c r="H8" s="180"/>
      <c r="I8" s="180"/>
      <c r="J8" s="180">
        <v>85</v>
      </c>
      <c r="K8" s="180"/>
      <c r="L8" s="180"/>
      <c r="M8" s="180">
        <f t="shared" ref="M8:M16" si="3">F8+I8+J8+K8-L8</f>
        <v>522.07868</v>
      </c>
      <c r="N8" s="180"/>
    </row>
    <row r="9" s="1" customFormat="1" ht="26.25" customHeight="1" spans="1:14">
      <c r="A9" s="168" t="s">
        <v>1436</v>
      </c>
      <c r="B9" s="169" t="s">
        <v>1437</v>
      </c>
      <c r="C9" s="170" t="s">
        <v>1438</v>
      </c>
      <c r="D9" s="169" t="s">
        <v>1439</v>
      </c>
      <c r="E9" s="169" t="s">
        <v>1441</v>
      </c>
      <c r="F9" s="180">
        <f t="shared" si="2"/>
        <v>3.8</v>
      </c>
      <c r="G9" s="180">
        <v>3.8</v>
      </c>
      <c r="H9" s="180"/>
      <c r="I9" s="180"/>
      <c r="J9" s="180"/>
      <c r="K9" s="180"/>
      <c r="L9" s="180"/>
      <c r="M9" s="180">
        <f t="shared" si="3"/>
        <v>3.8</v>
      </c>
      <c r="N9" s="180"/>
    </row>
    <row r="10" s="1" customFormat="1" ht="26.25" customHeight="1" spans="1:14">
      <c r="A10" s="168" t="s">
        <v>1436</v>
      </c>
      <c r="B10" s="169" t="s">
        <v>1437</v>
      </c>
      <c r="C10" s="170" t="s">
        <v>1438</v>
      </c>
      <c r="D10" s="169" t="s">
        <v>1439</v>
      </c>
      <c r="E10" s="169" t="s">
        <v>1442</v>
      </c>
      <c r="F10" s="180">
        <f t="shared" si="2"/>
        <v>20.643241</v>
      </c>
      <c r="G10" s="180">
        <v>20.643241</v>
      </c>
      <c r="H10" s="180"/>
      <c r="I10" s="180"/>
      <c r="J10" s="180"/>
      <c r="K10" s="180"/>
      <c r="L10" s="180"/>
      <c r="M10" s="180">
        <f t="shared" si="3"/>
        <v>20.643241</v>
      </c>
      <c r="N10" s="180"/>
    </row>
    <row r="11" s="1" customFormat="1" ht="26.25" customHeight="1" spans="1:14">
      <c r="A11" s="168" t="s">
        <v>1436</v>
      </c>
      <c r="B11" s="169" t="s">
        <v>1437</v>
      </c>
      <c r="C11" s="170" t="s">
        <v>1438</v>
      </c>
      <c r="D11" s="169" t="s">
        <v>1439</v>
      </c>
      <c r="E11" s="169" t="s">
        <v>1443</v>
      </c>
      <c r="F11" s="180">
        <f t="shared" si="2"/>
        <v>153.66</v>
      </c>
      <c r="G11" s="180">
        <v>153.66</v>
      </c>
      <c r="H11" s="180"/>
      <c r="I11" s="180"/>
      <c r="J11" s="180"/>
      <c r="K11" s="180"/>
      <c r="L11" s="180"/>
      <c r="M11" s="180">
        <f t="shared" si="3"/>
        <v>153.66</v>
      </c>
      <c r="N11" s="180"/>
    </row>
    <row r="12" s="1" customFormat="1" ht="26.25" customHeight="1" spans="1:14">
      <c r="A12" s="168" t="s">
        <v>1436</v>
      </c>
      <c r="B12" s="169" t="s">
        <v>1437</v>
      </c>
      <c r="C12" s="170" t="s">
        <v>1438</v>
      </c>
      <c r="D12" s="169" t="s">
        <v>1439</v>
      </c>
      <c r="E12" s="169" t="s">
        <v>1444</v>
      </c>
      <c r="F12" s="180">
        <f t="shared" si="2"/>
        <v>55.048642</v>
      </c>
      <c r="G12" s="180">
        <v>55.048642</v>
      </c>
      <c r="H12" s="180"/>
      <c r="I12" s="180"/>
      <c r="J12" s="180"/>
      <c r="K12" s="180"/>
      <c r="L12" s="180"/>
      <c r="M12" s="180">
        <f t="shared" si="3"/>
        <v>55.048642</v>
      </c>
      <c r="N12" s="180"/>
    </row>
    <row r="13" s="1" customFormat="1" ht="26.25" customHeight="1" spans="1:14">
      <c r="A13" s="168" t="s">
        <v>1436</v>
      </c>
      <c r="B13" s="169" t="s">
        <v>1437</v>
      </c>
      <c r="C13" s="170" t="s">
        <v>1438</v>
      </c>
      <c r="D13" s="169" t="s">
        <v>1439</v>
      </c>
      <c r="E13" s="169" t="s">
        <v>1445</v>
      </c>
      <c r="F13" s="180">
        <f t="shared" si="2"/>
        <v>31</v>
      </c>
      <c r="G13" s="180">
        <v>31</v>
      </c>
      <c r="H13" s="180"/>
      <c r="I13" s="180"/>
      <c r="J13" s="180"/>
      <c r="K13" s="180"/>
      <c r="L13" s="180"/>
      <c r="M13" s="180">
        <f t="shared" si="3"/>
        <v>31</v>
      </c>
      <c r="N13" s="180"/>
    </row>
    <row r="14" s="1" customFormat="1" ht="26.25" customHeight="1" spans="1:14">
      <c r="A14" s="168" t="s">
        <v>1436</v>
      </c>
      <c r="B14" s="169" t="s">
        <v>1437</v>
      </c>
      <c r="C14" s="170" t="s">
        <v>1438</v>
      </c>
      <c r="D14" s="169" t="s">
        <v>1439</v>
      </c>
      <c r="E14" s="169" t="s">
        <v>1446</v>
      </c>
      <c r="F14" s="180">
        <f t="shared" si="2"/>
        <v>117.086112</v>
      </c>
      <c r="G14" s="180">
        <v>117.086112</v>
      </c>
      <c r="H14" s="180"/>
      <c r="I14" s="180"/>
      <c r="J14" s="180"/>
      <c r="K14" s="180"/>
      <c r="L14" s="180"/>
      <c r="M14" s="180">
        <f t="shared" si="3"/>
        <v>117.086112</v>
      </c>
      <c r="N14" s="180"/>
    </row>
    <row r="15" s="1" customFormat="1" ht="26.25" customHeight="1" spans="1:14">
      <c r="A15" s="168" t="s">
        <v>1436</v>
      </c>
      <c r="B15" s="169" t="s">
        <v>1437</v>
      </c>
      <c r="C15" s="170" t="s">
        <v>1438</v>
      </c>
      <c r="D15" s="169" t="s">
        <v>1439</v>
      </c>
      <c r="E15" s="169" t="s">
        <v>1447</v>
      </c>
      <c r="F15" s="180">
        <f t="shared" si="2"/>
        <v>152.496391</v>
      </c>
      <c r="G15" s="180">
        <v>152.496391</v>
      </c>
      <c r="H15" s="180"/>
      <c r="I15" s="180"/>
      <c r="J15" s="180"/>
      <c r="K15" s="180"/>
      <c r="L15" s="180"/>
      <c r="M15" s="180">
        <f t="shared" si="3"/>
        <v>152.496391</v>
      </c>
      <c r="N15" s="180"/>
    </row>
    <row r="16" s="1" customFormat="1" ht="26.25" customHeight="1" spans="1:14">
      <c r="A16" s="168" t="s">
        <v>1436</v>
      </c>
      <c r="B16" s="169" t="s">
        <v>1437</v>
      </c>
      <c r="C16" s="170" t="s">
        <v>1438</v>
      </c>
      <c r="D16" s="169" t="s">
        <v>1439</v>
      </c>
      <c r="E16" s="169" t="s">
        <v>1448</v>
      </c>
      <c r="F16" s="180">
        <f t="shared" si="2"/>
        <v>17.6566</v>
      </c>
      <c r="G16" s="180">
        <v>17.6566</v>
      </c>
      <c r="H16" s="180"/>
      <c r="I16" s="180"/>
      <c r="J16" s="180"/>
      <c r="K16" s="180"/>
      <c r="L16" s="180"/>
      <c r="M16" s="180">
        <f t="shared" si="3"/>
        <v>17.6566</v>
      </c>
      <c r="N16" s="180"/>
    </row>
    <row r="17" s="1" customFormat="1" ht="26.25" customHeight="1" spans="1:14">
      <c r="A17" s="189" t="s">
        <v>1449</v>
      </c>
      <c r="B17" s="190" t="s">
        <v>1450</v>
      </c>
      <c r="C17" s="191"/>
      <c r="D17" s="192"/>
      <c r="E17" s="192"/>
      <c r="F17" s="167">
        <f t="shared" ref="F17:M17" si="4">SUM(F18:F26)</f>
        <v>573.945936</v>
      </c>
      <c r="G17" s="167">
        <f t="shared" si="4"/>
        <v>573.945936</v>
      </c>
      <c r="H17" s="167">
        <f t="shared" si="4"/>
        <v>0</v>
      </c>
      <c r="I17" s="167">
        <f t="shared" si="4"/>
        <v>0</v>
      </c>
      <c r="J17" s="167">
        <f t="shared" si="4"/>
        <v>83</v>
      </c>
      <c r="K17" s="167">
        <f t="shared" si="4"/>
        <v>0</v>
      </c>
      <c r="L17" s="167">
        <f t="shared" si="4"/>
        <v>0</v>
      </c>
      <c r="M17" s="167">
        <f t="shared" si="4"/>
        <v>656.945936</v>
      </c>
      <c r="N17" s="167"/>
    </row>
    <row r="18" s="1" customFormat="1" ht="26.25" customHeight="1" spans="1:14">
      <c r="A18" s="168" t="s">
        <v>1451</v>
      </c>
      <c r="B18" s="169" t="s">
        <v>1452</v>
      </c>
      <c r="C18" s="170" t="s">
        <v>1453</v>
      </c>
      <c r="D18" s="169" t="s">
        <v>1439</v>
      </c>
      <c r="E18" s="169" t="s">
        <v>1454</v>
      </c>
      <c r="F18" s="180">
        <f t="shared" ref="F18:F26" si="5">SUM(G18:H18)</f>
        <v>226.212492</v>
      </c>
      <c r="G18" s="180">
        <v>226.212492</v>
      </c>
      <c r="H18" s="180"/>
      <c r="I18" s="180"/>
      <c r="J18" s="180"/>
      <c r="K18" s="180"/>
      <c r="L18" s="180"/>
      <c r="M18" s="180">
        <f t="shared" ref="M18:M26" si="6">F18+I18+J18+K18-L18</f>
        <v>226.212492</v>
      </c>
      <c r="N18" s="180"/>
    </row>
    <row r="19" s="1" customFormat="1" ht="26.25" customHeight="1" spans="1:14">
      <c r="A19" s="168" t="s">
        <v>1451</v>
      </c>
      <c r="B19" s="169" t="s">
        <v>1452</v>
      </c>
      <c r="C19" s="170" t="s">
        <v>1453</v>
      </c>
      <c r="D19" s="169" t="s">
        <v>1439</v>
      </c>
      <c r="E19" s="169" t="s">
        <v>1455</v>
      </c>
      <c r="F19" s="180">
        <f t="shared" si="5"/>
        <v>64.029427</v>
      </c>
      <c r="G19" s="180">
        <v>64.029427</v>
      </c>
      <c r="H19" s="180"/>
      <c r="I19" s="180"/>
      <c r="J19" s="180"/>
      <c r="K19" s="180"/>
      <c r="L19" s="180"/>
      <c r="M19" s="180">
        <f t="shared" si="6"/>
        <v>64.029427</v>
      </c>
      <c r="N19" s="180"/>
    </row>
    <row r="20" s="1" customFormat="1" ht="26.25" customHeight="1" spans="1:14">
      <c r="A20" s="168" t="s">
        <v>1451</v>
      </c>
      <c r="B20" s="169" t="s">
        <v>1452</v>
      </c>
      <c r="C20" s="170" t="s">
        <v>1453</v>
      </c>
      <c r="D20" s="169" t="s">
        <v>1439</v>
      </c>
      <c r="E20" s="169" t="s">
        <v>1456</v>
      </c>
      <c r="F20" s="180">
        <f t="shared" si="5"/>
        <v>31.155546</v>
      </c>
      <c r="G20" s="180">
        <v>31.155546</v>
      </c>
      <c r="H20" s="180"/>
      <c r="I20" s="180"/>
      <c r="J20" s="180"/>
      <c r="K20" s="180"/>
      <c r="L20" s="180"/>
      <c r="M20" s="180">
        <f t="shared" si="6"/>
        <v>31.155546</v>
      </c>
      <c r="N20" s="180"/>
    </row>
    <row r="21" s="1" customFormat="1" ht="26.25" customHeight="1" spans="1:14">
      <c r="A21" s="168" t="s">
        <v>1451</v>
      </c>
      <c r="B21" s="169" t="s">
        <v>1452</v>
      </c>
      <c r="C21" s="170" t="s">
        <v>1453</v>
      </c>
      <c r="D21" s="169" t="s">
        <v>1439</v>
      </c>
      <c r="E21" s="169" t="s">
        <v>1457</v>
      </c>
      <c r="F21" s="180">
        <f t="shared" si="5"/>
        <v>22.836924</v>
      </c>
      <c r="G21" s="180">
        <v>22.836924</v>
      </c>
      <c r="H21" s="180"/>
      <c r="I21" s="180"/>
      <c r="J21" s="180"/>
      <c r="K21" s="180"/>
      <c r="L21" s="180"/>
      <c r="M21" s="180">
        <f t="shared" si="6"/>
        <v>22.836924</v>
      </c>
      <c r="N21" s="180"/>
    </row>
    <row r="22" s="1" customFormat="1" ht="26.25" customHeight="1" spans="1:14">
      <c r="A22" s="168" t="s">
        <v>1451</v>
      </c>
      <c r="B22" s="169" t="s">
        <v>1452</v>
      </c>
      <c r="C22" s="170" t="s">
        <v>1453</v>
      </c>
      <c r="D22" s="169" t="s">
        <v>1439</v>
      </c>
      <c r="E22" s="169" t="s">
        <v>1458</v>
      </c>
      <c r="F22" s="180">
        <f t="shared" si="5"/>
        <v>8.563847</v>
      </c>
      <c r="G22" s="180">
        <v>8.563847</v>
      </c>
      <c r="H22" s="180"/>
      <c r="I22" s="180"/>
      <c r="J22" s="180"/>
      <c r="K22" s="180"/>
      <c r="L22" s="180"/>
      <c r="M22" s="180">
        <f t="shared" si="6"/>
        <v>8.563847</v>
      </c>
      <c r="N22" s="180"/>
    </row>
    <row r="23" s="1" customFormat="1" ht="26.25" customHeight="1" spans="1:14">
      <c r="A23" s="168" t="s">
        <v>1451</v>
      </c>
      <c r="B23" s="169" t="s">
        <v>1452</v>
      </c>
      <c r="C23" s="170" t="s">
        <v>1453</v>
      </c>
      <c r="D23" s="169" t="s">
        <v>1439</v>
      </c>
      <c r="E23" s="169" t="s">
        <v>1459</v>
      </c>
      <c r="F23" s="180">
        <f t="shared" si="5"/>
        <v>15</v>
      </c>
      <c r="G23" s="180">
        <v>15</v>
      </c>
      <c r="H23" s="180"/>
      <c r="I23" s="180"/>
      <c r="J23" s="180"/>
      <c r="K23" s="180"/>
      <c r="L23" s="180"/>
      <c r="M23" s="180">
        <f t="shared" si="6"/>
        <v>15</v>
      </c>
      <c r="N23" s="180"/>
    </row>
    <row r="24" s="1" customFormat="1" ht="26.25" customHeight="1" spans="1:14">
      <c r="A24" s="168" t="s">
        <v>1451</v>
      </c>
      <c r="B24" s="169" t="s">
        <v>1452</v>
      </c>
      <c r="C24" s="170" t="s">
        <v>1453</v>
      </c>
      <c r="D24" s="169" t="s">
        <v>1439</v>
      </c>
      <c r="E24" s="169" t="s">
        <v>1460</v>
      </c>
      <c r="F24" s="180">
        <f t="shared" si="5"/>
        <v>11.84</v>
      </c>
      <c r="G24" s="180">
        <v>11.84</v>
      </c>
      <c r="H24" s="180"/>
      <c r="I24" s="180"/>
      <c r="J24" s="180"/>
      <c r="K24" s="180"/>
      <c r="L24" s="180"/>
      <c r="M24" s="180">
        <f t="shared" si="6"/>
        <v>11.84</v>
      </c>
      <c r="N24" s="180"/>
    </row>
    <row r="25" s="1" customFormat="1" ht="26.25" customHeight="1" spans="1:14">
      <c r="A25" s="168" t="s">
        <v>1451</v>
      </c>
      <c r="B25" s="169" t="s">
        <v>1452</v>
      </c>
      <c r="C25" s="170" t="s">
        <v>1453</v>
      </c>
      <c r="D25" s="169" t="s">
        <v>1439</v>
      </c>
      <c r="E25" s="169" t="s">
        <v>1461</v>
      </c>
      <c r="F25" s="180">
        <f t="shared" si="5"/>
        <v>182.8797</v>
      </c>
      <c r="G25" s="180">
        <v>182.8797</v>
      </c>
      <c r="H25" s="180"/>
      <c r="I25" s="180"/>
      <c r="J25" s="180">
        <v>83</v>
      </c>
      <c r="K25" s="180"/>
      <c r="L25" s="180"/>
      <c r="M25" s="180">
        <f t="shared" si="6"/>
        <v>265.8797</v>
      </c>
      <c r="N25" s="180"/>
    </row>
    <row r="26" s="1" customFormat="1" ht="26.25" customHeight="1" spans="1:14">
      <c r="A26" s="168" t="s">
        <v>1451</v>
      </c>
      <c r="B26" s="169" t="s">
        <v>1452</v>
      </c>
      <c r="C26" s="170" t="s">
        <v>1453</v>
      </c>
      <c r="D26" s="169" t="s">
        <v>1439</v>
      </c>
      <c r="E26" s="169" t="s">
        <v>1462</v>
      </c>
      <c r="F26" s="180">
        <f t="shared" si="5"/>
        <v>11.428</v>
      </c>
      <c r="G26" s="180">
        <v>11.428</v>
      </c>
      <c r="H26" s="180"/>
      <c r="I26" s="180"/>
      <c r="J26" s="180"/>
      <c r="K26" s="180"/>
      <c r="L26" s="180"/>
      <c r="M26" s="180">
        <f t="shared" si="6"/>
        <v>11.428</v>
      </c>
      <c r="N26" s="180"/>
    </row>
    <row r="27" s="1" customFormat="1" ht="26.25" customHeight="1" spans="1:14">
      <c r="A27" s="189" t="s">
        <v>1463</v>
      </c>
      <c r="B27" s="190" t="s">
        <v>1280</v>
      </c>
      <c r="C27" s="191"/>
      <c r="D27" s="192"/>
      <c r="E27" s="192"/>
      <c r="F27" s="167">
        <f t="shared" ref="F27:M27" si="7">SUM(F28:F36)</f>
        <v>775.184659</v>
      </c>
      <c r="G27" s="167">
        <f t="shared" si="7"/>
        <v>775.184659</v>
      </c>
      <c r="H27" s="167">
        <f t="shared" si="7"/>
        <v>0</v>
      </c>
      <c r="I27" s="167">
        <f t="shared" si="7"/>
        <v>0</v>
      </c>
      <c r="J27" s="167">
        <f t="shared" si="7"/>
        <v>0</v>
      </c>
      <c r="K27" s="167">
        <f t="shared" si="7"/>
        <v>0</v>
      </c>
      <c r="L27" s="167">
        <f t="shared" si="7"/>
        <v>0</v>
      </c>
      <c r="M27" s="167">
        <f t="shared" si="7"/>
        <v>775.184659</v>
      </c>
      <c r="N27" s="167"/>
    </row>
    <row r="28" s="1" customFormat="1" ht="26.25" customHeight="1" spans="1:14">
      <c r="A28" s="168" t="s">
        <v>1464</v>
      </c>
      <c r="B28" s="169" t="s">
        <v>1465</v>
      </c>
      <c r="C28" s="170" t="s">
        <v>1466</v>
      </c>
      <c r="D28" s="169" t="s">
        <v>1439</v>
      </c>
      <c r="E28" s="169" t="s">
        <v>1467</v>
      </c>
      <c r="F28" s="180">
        <f t="shared" ref="F28:F36" si="8">SUM(G28:H28)</f>
        <v>143.4794</v>
      </c>
      <c r="G28" s="180">
        <v>143.4794</v>
      </c>
      <c r="H28" s="180"/>
      <c r="I28" s="180"/>
      <c r="J28" s="180"/>
      <c r="K28" s="180"/>
      <c r="L28" s="180"/>
      <c r="M28" s="180">
        <f t="shared" ref="M28:M36" si="9">F28+I28+J28+K28-L28</f>
        <v>143.4794</v>
      </c>
      <c r="N28" s="180"/>
    </row>
    <row r="29" s="1" customFormat="1" ht="26.25" customHeight="1" spans="1:14">
      <c r="A29" s="168" t="s">
        <v>1464</v>
      </c>
      <c r="B29" s="169" t="s">
        <v>1465</v>
      </c>
      <c r="C29" s="170" t="s">
        <v>1466</v>
      </c>
      <c r="D29" s="169" t="s">
        <v>1439</v>
      </c>
      <c r="E29" s="169" t="s">
        <v>1468</v>
      </c>
      <c r="F29" s="180">
        <f t="shared" si="8"/>
        <v>22.0116</v>
      </c>
      <c r="G29" s="180">
        <v>22.0116</v>
      </c>
      <c r="H29" s="180"/>
      <c r="I29" s="180"/>
      <c r="J29" s="180"/>
      <c r="K29" s="180"/>
      <c r="L29" s="180"/>
      <c r="M29" s="180">
        <f t="shared" si="9"/>
        <v>22.0116</v>
      </c>
      <c r="N29" s="180"/>
    </row>
    <row r="30" s="1" customFormat="1" ht="26.25" customHeight="1" spans="1:14">
      <c r="A30" s="168" t="s">
        <v>1464</v>
      </c>
      <c r="B30" s="169" t="s">
        <v>1465</v>
      </c>
      <c r="C30" s="170" t="s">
        <v>1466</v>
      </c>
      <c r="D30" s="169" t="s">
        <v>1439</v>
      </c>
      <c r="E30" s="169" t="s">
        <v>1469</v>
      </c>
      <c r="F30" s="180">
        <f t="shared" si="8"/>
        <v>54.164</v>
      </c>
      <c r="G30" s="180">
        <v>54.164</v>
      </c>
      <c r="H30" s="180"/>
      <c r="I30" s="180"/>
      <c r="J30" s="180"/>
      <c r="K30" s="180"/>
      <c r="L30" s="180"/>
      <c r="M30" s="180">
        <f t="shared" si="9"/>
        <v>54.164</v>
      </c>
      <c r="N30" s="180"/>
    </row>
    <row r="31" s="1" customFormat="1" ht="26.25" customHeight="1" spans="1:14">
      <c r="A31" s="168" t="s">
        <v>1464</v>
      </c>
      <c r="B31" s="169" t="s">
        <v>1465</v>
      </c>
      <c r="C31" s="170" t="s">
        <v>1466</v>
      </c>
      <c r="D31" s="169" t="s">
        <v>1439</v>
      </c>
      <c r="E31" s="169" t="s">
        <v>1470</v>
      </c>
      <c r="F31" s="180">
        <f t="shared" si="8"/>
        <v>2.728004</v>
      </c>
      <c r="G31" s="180">
        <v>2.728004</v>
      </c>
      <c r="H31" s="180"/>
      <c r="I31" s="180"/>
      <c r="J31" s="180"/>
      <c r="K31" s="180"/>
      <c r="L31" s="180"/>
      <c r="M31" s="180">
        <f t="shared" si="9"/>
        <v>2.728004</v>
      </c>
      <c r="N31" s="180"/>
    </row>
    <row r="32" s="1" customFormat="1" ht="26.25" customHeight="1" spans="1:14">
      <c r="A32" s="168" t="s">
        <v>1464</v>
      </c>
      <c r="B32" s="169" t="s">
        <v>1465</v>
      </c>
      <c r="C32" s="170" t="s">
        <v>1466</v>
      </c>
      <c r="D32" s="169" t="s">
        <v>1439</v>
      </c>
      <c r="E32" s="169" t="s">
        <v>1471</v>
      </c>
      <c r="F32" s="180">
        <f t="shared" si="8"/>
        <v>53.870407</v>
      </c>
      <c r="G32" s="180">
        <v>53.870407</v>
      </c>
      <c r="H32" s="180"/>
      <c r="I32" s="180"/>
      <c r="J32" s="180"/>
      <c r="K32" s="180"/>
      <c r="L32" s="180"/>
      <c r="M32" s="180">
        <f t="shared" si="9"/>
        <v>53.870407</v>
      </c>
      <c r="N32" s="180"/>
    </row>
    <row r="33" s="1" customFormat="1" ht="26.25" customHeight="1" spans="1:14">
      <c r="A33" s="168" t="s">
        <v>1464</v>
      </c>
      <c r="B33" s="169" t="s">
        <v>1465</v>
      </c>
      <c r="C33" s="170" t="s">
        <v>1466</v>
      </c>
      <c r="D33" s="169" t="s">
        <v>1439</v>
      </c>
      <c r="E33" s="169" t="s">
        <v>1472</v>
      </c>
      <c r="F33" s="180">
        <f t="shared" si="8"/>
        <v>20.201403</v>
      </c>
      <c r="G33" s="180">
        <v>20.201403</v>
      </c>
      <c r="H33" s="180"/>
      <c r="I33" s="180"/>
      <c r="J33" s="180"/>
      <c r="K33" s="180"/>
      <c r="L33" s="180"/>
      <c r="M33" s="180">
        <f t="shared" si="9"/>
        <v>20.201403</v>
      </c>
      <c r="N33" s="180"/>
    </row>
    <row r="34" s="1" customFormat="1" ht="26.25" customHeight="1" spans="1:14">
      <c r="A34" s="168" t="s">
        <v>1464</v>
      </c>
      <c r="B34" s="169" t="s">
        <v>1465</v>
      </c>
      <c r="C34" s="170" t="s">
        <v>1466</v>
      </c>
      <c r="D34" s="169" t="s">
        <v>1439</v>
      </c>
      <c r="E34" s="169" t="s">
        <v>1473</v>
      </c>
      <c r="F34" s="180">
        <f t="shared" si="8"/>
        <v>443.229845</v>
      </c>
      <c r="G34" s="180">
        <v>443.229845</v>
      </c>
      <c r="H34" s="180"/>
      <c r="I34" s="180"/>
      <c r="J34" s="180"/>
      <c r="K34" s="180"/>
      <c r="L34" s="180"/>
      <c r="M34" s="180">
        <f t="shared" si="9"/>
        <v>443.229845</v>
      </c>
      <c r="N34" s="180"/>
    </row>
    <row r="35" s="1" customFormat="1" ht="26.25" customHeight="1" spans="1:14">
      <c r="A35" s="168" t="s">
        <v>1464</v>
      </c>
      <c r="B35" s="169" t="s">
        <v>1465</v>
      </c>
      <c r="C35" s="170" t="s">
        <v>1466</v>
      </c>
      <c r="D35" s="169" t="s">
        <v>1439</v>
      </c>
      <c r="E35" s="169" t="s">
        <v>1474</v>
      </c>
      <c r="F35" s="180">
        <f t="shared" si="8"/>
        <v>0.5</v>
      </c>
      <c r="G35" s="180">
        <v>0.5</v>
      </c>
      <c r="H35" s="180"/>
      <c r="I35" s="180"/>
      <c r="J35" s="180"/>
      <c r="K35" s="180"/>
      <c r="L35" s="180"/>
      <c r="M35" s="180">
        <f t="shared" si="9"/>
        <v>0.5</v>
      </c>
      <c r="N35" s="180"/>
    </row>
    <row r="36" s="1" customFormat="1" ht="26.25" customHeight="1" spans="1:14">
      <c r="A36" s="168" t="s">
        <v>1464</v>
      </c>
      <c r="B36" s="169" t="s">
        <v>1465</v>
      </c>
      <c r="C36" s="170" t="s">
        <v>1466</v>
      </c>
      <c r="D36" s="169" t="s">
        <v>1439</v>
      </c>
      <c r="E36" s="169" t="s">
        <v>1475</v>
      </c>
      <c r="F36" s="180">
        <f t="shared" si="8"/>
        <v>35</v>
      </c>
      <c r="G36" s="180">
        <v>35</v>
      </c>
      <c r="H36" s="180"/>
      <c r="I36" s="180"/>
      <c r="J36" s="180"/>
      <c r="K36" s="180"/>
      <c r="L36" s="180"/>
      <c r="M36" s="180">
        <f t="shared" si="9"/>
        <v>35</v>
      </c>
      <c r="N36" s="180"/>
    </row>
    <row r="37" s="1" customFormat="1" ht="26.25" customHeight="1" spans="1:14">
      <c r="A37" s="189" t="s">
        <v>1476</v>
      </c>
      <c r="B37" s="190" t="s">
        <v>1477</v>
      </c>
      <c r="C37" s="191"/>
      <c r="D37" s="192"/>
      <c r="E37" s="192"/>
      <c r="F37" s="167">
        <f t="shared" ref="F37:M37" si="10">SUM(F38:F46)</f>
        <v>499.43674</v>
      </c>
      <c r="G37" s="167">
        <f t="shared" si="10"/>
        <v>499.43674</v>
      </c>
      <c r="H37" s="167">
        <f t="shared" si="10"/>
        <v>0</v>
      </c>
      <c r="I37" s="167">
        <f t="shared" si="10"/>
        <v>0</v>
      </c>
      <c r="J37" s="167">
        <f t="shared" si="10"/>
        <v>0</v>
      </c>
      <c r="K37" s="167">
        <f t="shared" si="10"/>
        <v>0</v>
      </c>
      <c r="L37" s="167">
        <f t="shared" si="10"/>
        <v>0</v>
      </c>
      <c r="M37" s="167">
        <f t="shared" si="10"/>
        <v>499.43674</v>
      </c>
      <c r="N37" s="167"/>
    </row>
    <row r="38" s="1" customFormat="1" ht="26.25" customHeight="1" spans="1:14">
      <c r="A38" s="168" t="s">
        <v>1478</v>
      </c>
      <c r="B38" s="169" t="s">
        <v>1479</v>
      </c>
      <c r="C38" s="170" t="s">
        <v>1480</v>
      </c>
      <c r="D38" s="169" t="s">
        <v>1439</v>
      </c>
      <c r="E38" s="169" t="s">
        <v>1481</v>
      </c>
      <c r="F38" s="180">
        <f t="shared" ref="F38:F46" si="11">SUM(G38:H38)</f>
        <v>26.78184</v>
      </c>
      <c r="G38" s="180">
        <v>26.78184</v>
      </c>
      <c r="H38" s="180"/>
      <c r="I38" s="180"/>
      <c r="J38" s="180"/>
      <c r="K38" s="180"/>
      <c r="L38" s="180"/>
      <c r="M38" s="180">
        <f t="shared" ref="M38:M46" si="12">F38+I38+J38+K38-L38</f>
        <v>26.78184</v>
      </c>
      <c r="N38" s="180"/>
    </row>
    <row r="39" s="1" customFormat="1" ht="26.25" customHeight="1" spans="1:14">
      <c r="A39" s="168" t="s">
        <v>1478</v>
      </c>
      <c r="B39" s="169" t="s">
        <v>1479</v>
      </c>
      <c r="C39" s="170" t="s">
        <v>1480</v>
      </c>
      <c r="D39" s="169" t="s">
        <v>1439</v>
      </c>
      <c r="E39" s="169" t="s">
        <v>1482</v>
      </c>
      <c r="F39" s="180">
        <f t="shared" si="11"/>
        <v>9.493859</v>
      </c>
      <c r="G39" s="180">
        <v>9.493859</v>
      </c>
      <c r="H39" s="180"/>
      <c r="I39" s="180"/>
      <c r="J39" s="180"/>
      <c r="K39" s="180"/>
      <c r="L39" s="180"/>
      <c r="M39" s="180">
        <f t="shared" si="12"/>
        <v>9.493859</v>
      </c>
      <c r="N39" s="180"/>
    </row>
    <row r="40" s="1" customFormat="1" ht="26.25" customHeight="1" spans="1:14">
      <c r="A40" s="168" t="s">
        <v>1478</v>
      </c>
      <c r="B40" s="169" t="s">
        <v>1479</v>
      </c>
      <c r="C40" s="170" t="s">
        <v>1480</v>
      </c>
      <c r="D40" s="169" t="s">
        <v>1439</v>
      </c>
      <c r="E40" s="169" t="s">
        <v>1483</v>
      </c>
      <c r="F40" s="180">
        <f t="shared" si="11"/>
        <v>1.2</v>
      </c>
      <c r="G40" s="180">
        <v>1.2</v>
      </c>
      <c r="H40" s="180"/>
      <c r="I40" s="180"/>
      <c r="J40" s="180"/>
      <c r="K40" s="180"/>
      <c r="L40" s="180"/>
      <c r="M40" s="180">
        <f t="shared" si="12"/>
        <v>1.2</v>
      </c>
      <c r="N40" s="180"/>
    </row>
    <row r="41" s="1" customFormat="1" ht="26.25" customHeight="1" spans="1:14">
      <c r="A41" s="168" t="s">
        <v>1478</v>
      </c>
      <c r="B41" s="169" t="s">
        <v>1479</v>
      </c>
      <c r="C41" s="170" t="s">
        <v>1480</v>
      </c>
      <c r="D41" s="169" t="s">
        <v>1439</v>
      </c>
      <c r="E41" s="169" t="s">
        <v>1484</v>
      </c>
      <c r="F41" s="180">
        <f t="shared" si="11"/>
        <v>17</v>
      </c>
      <c r="G41" s="180">
        <v>17</v>
      </c>
      <c r="H41" s="180"/>
      <c r="I41" s="180"/>
      <c r="J41" s="180"/>
      <c r="K41" s="180"/>
      <c r="L41" s="180"/>
      <c r="M41" s="180">
        <f t="shared" si="12"/>
        <v>17</v>
      </c>
      <c r="N41" s="180"/>
    </row>
    <row r="42" s="1" customFormat="1" ht="26.25" customHeight="1" spans="1:14">
      <c r="A42" s="168" t="s">
        <v>1478</v>
      </c>
      <c r="B42" s="169" t="s">
        <v>1479</v>
      </c>
      <c r="C42" s="170" t="s">
        <v>1480</v>
      </c>
      <c r="D42" s="169" t="s">
        <v>1439</v>
      </c>
      <c r="E42" s="169" t="s">
        <v>1485</v>
      </c>
      <c r="F42" s="180">
        <f t="shared" si="11"/>
        <v>11.548</v>
      </c>
      <c r="G42" s="180">
        <v>11.548</v>
      </c>
      <c r="H42" s="180"/>
      <c r="I42" s="180"/>
      <c r="J42" s="180"/>
      <c r="K42" s="180"/>
      <c r="L42" s="180"/>
      <c r="M42" s="180">
        <f t="shared" si="12"/>
        <v>11.548</v>
      </c>
      <c r="N42" s="180"/>
    </row>
    <row r="43" s="1" customFormat="1" ht="26.25" customHeight="1" spans="1:14">
      <c r="A43" s="168" t="s">
        <v>1478</v>
      </c>
      <c r="B43" s="169" t="s">
        <v>1479</v>
      </c>
      <c r="C43" s="170" t="s">
        <v>1480</v>
      </c>
      <c r="D43" s="169" t="s">
        <v>1439</v>
      </c>
      <c r="E43" s="169" t="s">
        <v>1486</v>
      </c>
      <c r="F43" s="180">
        <f t="shared" si="11"/>
        <v>75.628254</v>
      </c>
      <c r="G43" s="180">
        <v>75.628254</v>
      </c>
      <c r="H43" s="180"/>
      <c r="I43" s="180"/>
      <c r="J43" s="180"/>
      <c r="K43" s="180"/>
      <c r="L43" s="180"/>
      <c r="M43" s="180">
        <f t="shared" si="12"/>
        <v>75.628254</v>
      </c>
      <c r="N43" s="180"/>
    </row>
    <row r="44" s="1" customFormat="1" ht="26.25" customHeight="1" spans="1:14">
      <c r="A44" s="168" t="s">
        <v>1478</v>
      </c>
      <c r="B44" s="169" t="s">
        <v>1479</v>
      </c>
      <c r="C44" s="170" t="s">
        <v>1480</v>
      </c>
      <c r="D44" s="169" t="s">
        <v>1439</v>
      </c>
      <c r="E44" s="169" t="s">
        <v>1487</v>
      </c>
      <c r="F44" s="180">
        <f t="shared" si="11"/>
        <v>234.179597</v>
      </c>
      <c r="G44" s="180">
        <v>234.179597</v>
      </c>
      <c r="H44" s="180"/>
      <c r="I44" s="180"/>
      <c r="J44" s="180"/>
      <c r="K44" s="180"/>
      <c r="L44" s="180"/>
      <c r="M44" s="180">
        <f t="shared" si="12"/>
        <v>234.179597</v>
      </c>
      <c r="N44" s="180"/>
    </row>
    <row r="45" s="1" customFormat="1" ht="26.25" customHeight="1" spans="1:14">
      <c r="A45" s="168" t="s">
        <v>1478</v>
      </c>
      <c r="B45" s="169" t="s">
        <v>1479</v>
      </c>
      <c r="C45" s="170" t="s">
        <v>1480</v>
      </c>
      <c r="D45" s="169" t="s">
        <v>1439</v>
      </c>
      <c r="E45" s="169" t="s">
        <v>1488</v>
      </c>
      <c r="F45" s="180">
        <f t="shared" si="11"/>
        <v>113.562</v>
      </c>
      <c r="G45" s="180">
        <v>113.562</v>
      </c>
      <c r="H45" s="180"/>
      <c r="I45" s="180"/>
      <c r="J45" s="180"/>
      <c r="K45" s="180"/>
      <c r="L45" s="180"/>
      <c r="M45" s="180">
        <f t="shared" si="12"/>
        <v>113.562</v>
      </c>
      <c r="N45" s="180"/>
    </row>
    <row r="46" s="1" customFormat="1" ht="26.25" customHeight="1" spans="1:14">
      <c r="A46" s="168" t="s">
        <v>1478</v>
      </c>
      <c r="B46" s="169" t="s">
        <v>1479</v>
      </c>
      <c r="C46" s="170" t="s">
        <v>1480</v>
      </c>
      <c r="D46" s="169" t="s">
        <v>1439</v>
      </c>
      <c r="E46" s="169" t="s">
        <v>1489</v>
      </c>
      <c r="F46" s="180">
        <f t="shared" si="11"/>
        <v>10.04319</v>
      </c>
      <c r="G46" s="180">
        <v>10.04319</v>
      </c>
      <c r="H46" s="180"/>
      <c r="I46" s="180"/>
      <c r="J46" s="180"/>
      <c r="K46" s="180"/>
      <c r="L46" s="180"/>
      <c r="M46" s="180">
        <f t="shared" si="12"/>
        <v>10.04319</v>
      </c>
      <c r="N46" s="180"/>
    </row>
    <row r="47" s="1" customFormat="1" ht="26.25" customHeight="1" spans="1:14">
      <c r="A47" s="189" t="s">
        <v>1490</v>
      </c>
      <c r="B47" s="190" t="s">
        <v>1284</v>
      </c>
      <c r="C47" s="191"/>
      <c r="D47" s="192"/>
      <c r="E47" s="192"/>
      <c r="F47" s="167">
        <f t="shared" ref="F47:M47" si="13">SUM(F48:F52)</f>
        <v>17.110457</v>
      </c>
      <c r="G47" s="167">
        <f t="shared" si="13"/>
        <v>17.110457</v>
      </c>
      <c r="H47" s="167">
        <f t="shared" si="13"/>
        <v>0</v>
      </c>
      <c r="I47" s="167">
        <f t="shared" si="13"/>
        <v>0</v>
      </c>
      <c r="J47" s="167">
        <f t="shared" si="13"/>
        <v>3.64</v>
      </c>
      <c r="K47" s="167">
        <f t="shared" si="13"/>
        <v>0</v>
      </c>
      <c r="L47" s="167">
        <f t="shared" si="13"/>
        <v>0</v>
      </c>
      <c r="M47" s="167">
        <f t="shared" si="13"/>
        <v>20.750457</v>
      </c>
      <c r="N47" s="167"/>
    </row>
    <row r="48" s="1" customFormat="1" ht="26.25" customHeight="1" spans="1:14">
      <c r="A48" s="168" t="s">
        <v>1491</v>
      </c>
      <c r="B48" s="169" t="s">
        <v>1492</v>
      </c>
      <c r="C48" s="170" t="s">
        <v>1438</v>
      </c>
      <c r="D48" s="169" t="s">
        <v>1439</v>
      </c>
      <c r="E48" s="169" t="s">
        <v>1493</v>
      </c>
      <c r="F48" s="180">
        <f t="shared" ref="F48:F52" si="14">SUM(G48:H48)</f>
        <v>3.799552</v>
      </c>
      <c r="G48" s="180">
        <v>3.799552</v>
      </c>
      <c r="H48" s="180"/>
      <c r="I48" s="180"/>
      <c r="J48" s="180"/>
      <c r="K48" s="180"/>
      <c r="L48" s="180"/>
      <c r="M48" s="180">
        <f t="shared" ref="M48:M52" si="15">F48+I48+J48+K48-L48</f>
        <v>3.799552</v>
      </c>
      <c r="N48" s="180"/>
    </row>
    <row r="49" s="1" customFormat="1" ht="26.25" customHeight="1" spans="1:14">
      <c r="A49" s="168" t="s">
        <v>1491</v>
      </c>
      <c r="B49" s="169" t="s">
        <v>1492</v>
      </c>
      <c r="C49" s="170" t="s">
        <v>1438</v>
      </c>
      <c r="D49" s="169" t="s">
        <v>1439</v>
      </c>
      <c r="E49" s="169" t="s">
        <v>1494</v>
      </c>
      <c r="F49" s="180">
        <f t="shared" si="14"/>
        <v>1</v>
      </c>
      <c r="G49" s="180">
        <v>1</v>
      </c>
      <c r="H49" s="180"/>
      <c r="I49" s="180"/>
      <c r="J49" s="180"/>
      <c r="K49" s="180"/>
      <c r="L49" s="180"/>
      <c r="M49" s="180">
        <f t="shared" si="15"/>
        <v>1</v>
      </c>
      <c r="N49" s="180"/>
    </row>
    <row r="50" s="1" customFormat="1" ht="26.25" customHeight="1" spans="1:14">
      <c r="A50" s="168" t="s">
        <v>1491</v>
      </c>
      <c r="B50" s="169" t="s">
        <v>1492</v>
      </c>
      <c r="C50" s="170" t="s">
        <v>1438</v>
      </c>
      <c r="D50" s="169" t="s">
        <v>1439</v>
      </c>
      <c r="E50" s="169" t="s">
        <v>1495</v>
      </c>
      <c r="F50" s="180">
        <f t="shared" si="14"/>
        <v>10.5673</v>
      </c>
      <c r="G50" s="180">
        <v>10.5673</v>
      </c>
      <c r="H50" s="180"/>
      <c r="I50" s="180"/>
      <c r="J50" s="180">
        <v>3.64</v>
      </c>
      <c r="K50" s="180"/>
      <c r="L50" s="180"/>
      <c r="M50" s="180">
        <f t="shared" si="15"/>
        <v>14.2073</v>
      </c>
      <c r="N50" s="180"/>
    </row>
    <row r="51" s="1" customFormat="1" ht="26.25" customHeight="1" spans="1:14">
      <c r="A51" s="168" t="s">
        <v>1491</v>
      </c>
      <c r="B51" s="169" t="s">
        <v>1492</v>
      </c>
      <c r="C51" s="170" t="s">
        <v>1438</v>
      </c>
      <c r="D51" s="169" t="s">
        <v>1439</v>
      </c>
      <c r="E51" s="169" t="s">
        <v>1496</v>
      </c>
      <c r="F51" s="180">
        <f t="shared" si="14"/>
        <v>1.268076</v>
      </c>
      <c r="G51" s="180">
        <v>1.268076</v>
      </c>
      <c r="H51" s="180"/>
      <c r="I51" s="180"/>
      <c r="J51" s="180"/>
      <c r="K51" s="180"/>
      <c r="L51" s="180"/>
      <c r="M51" s="180">
        <f t="shared" si="15"/>
        <v>1.268076</v>
      </c>
      <c r="N51" s="180"/>
    </row>
    <row r="52" s="1" customFormat="1" ht="26.25" customHeight="1" spans="1:14">
      <c r="A52" s="168" t="s">
        <v>1491</v>
      </c>
      <c r="B52" s="169" t="s">
        <v>1492</v>
      </c>
      <c r="C52" s="170" t="s">
        <v>1438</v>
      </c>
      <c r="D52" s="169" t="s">
        <v>1439</v>
      </c>
      <c r="E52" s="169" t="s">
        <v>1497</v>
      </c>
      <c r="F52" s="180">
        <f t="shared" si="14"/>
        <v>0.475529</v>
      </c>
      <c r="G52" s="180">
        <v>0.475529</v>
      </c>
      <c r="H52" s="180"/>
      <c r="I52" s="180"/>
      <c r="J52" s="180"/>
      <c r="K52" s="180"/>
      <c r="L52" s="180"/>
      <c r="M52" s="180">
        <f t="shared" si="15"/>
        <v>0.475529</v>
      </c>
      <c r="N52" s="180"/>
    </row>
    <row r="53" s="1" customFormat="1" ht="26.25" customHeight="1" spans="1:14">
      <c r="A53" s="189" t="s">
        <v>1498</v>
      </c>
      <c r="B53" s="190" t="s">
        <v>1499</v>
      </c>
      <c r="C53" s="191"/>
      <c r="D53" s="192"/>
      <c r="E53" s="192"/>
      <c r="F53" s="167">
        <f t="shared" ref="F53:M53" si="16">SUM(F54:F62)</f>
        <v>870.892356</v>
      </c>
      <c r="G53" s="167">
        <f t="shared" si="16"/>
        <v>870.892356</v>
      </c>
      <c r="H53" s="167">
        <f t="shared" si="16"/>
        <v>0</v>
      </c>
      <c r="I53" s="167">
        <f t="shared" si="16"/>
        <v>0</v>
      </c>
      <c r="J53" s="167">
        <f t="shared" si="16"/>
        <v>0</v>
      </c>
      <c r="K53" s="167">
        <f t="shared" si="16"/>
        <v>0</v>
      </c>
      <c r="L53" s="167">
        <f t="shared" si="16"/>
        <v>0</v>
      </c>
      <c r="M53" s="167">
        <f t="shared" si="16"/>
        <v>870.892356</v>
      </c>
      <c r="N53" s="167"/>
    </row>
    <row r="54" s="1" customFormat="1" ht="26.25" customHeight="1" spans="1:14">
      <c r="A54" s="168" t="s">
        <v>1500</v>
      </c>
      <c r="B54" s="169" t="s">
        <v>1501</v>
      </c>
      <c r="C54" s="170" t="s">
        <v>1502</v>
      </c>
      <c r="D54" s="169" t="s">
        <v>1439</v>
      </c>
      <c r="E54" s="169" t="s">
        <v>1503</v>
      </c>
      <c r="F54" s="180">
        <f t="shared" ref="F54:F62" si="17">SUM(G54:H54)</f>
        <v>37</v>
      </c>
      <c r="G54" s="180">
        <v>37</v>
      </c>
      <c r="H54" s="180"/>
      <c r="I54" s="180"/>
      <c r="J54" s="180"/>
      <c r="K54" s="180"/>
      <c r="L54" s="180"/>
      <c r="M54" s="180">
        <f t="shared" ref="M54:M62" si="18">F54+I54+J54+K54-L54</f>
        <v>37</v>
      </c>
      <c r="N54" s="180"/>
    </row>
    <row r="55" s="1" customFormat="1" ht="26.25" customHeight="1" spans="1:14">
      <c r="A55" s="168" t="s">
        <v>1500</v>
      </c>
      <c r="B55" s="169" t="s">
        <v>1501</v>
      </c>
      <c r="C55" s="170" t="s">
        <v>1502</v>
      </c>
      <c r="D55" s="169" t="s">
        <v>1439</v>
      </c>
      <c r="E55" s="169" t="s">
        <v>1504</v>
      </c>
      <c r="F55" s="180">
        <f t="shared" si="17"/>
        <v>58.716</v>
      </c>
      <c r="G55" s="180">
        <v>58.716</v>
      </c>
      <c r="H55" s="180"/>
      <c r="I55" s="180"/>
      <c r="J55" s="180"/>
      <c r="K55" s="180"/>
      <c r="L55" s="180"/>
      <c r="M55" s="180">
        <f t="shared" si="18"/>
        <v>58.716</v>
      </c>
      <c r="N55" s="180"/>
    </row>
    <row r="56" s="1" customFormat="1" ht="26.25" customHeight="1" spans="1:14">
      <c r="A56" s="168" t="s">
        <v>1500</v>
      </c>
      <c r="B56" s="169" t="s">
        <v>1501</v>
      </c>
      <c r="C56" s="170" t="s">
        <v>1502</v>
      </c>
      <c r="D56" s="169" t="s">
        <v>1439</v>
      </c>
      <c r="E56" s="169" t="s">
        <v>1505</v>
      </c>
      <c r="F56" s="180">
        <f t="shared" si="17"/>
        <v>22.473765</v>
      </c>
      <c r="G56" s="180">
        <v>22.473765</v>
      </c>
      <c r="H56" s="180"/>
      <c r="I56" s="180"/>
      <c r="J56" s="180"/>
      <c r="K56" s="180"/>
      <c r="L56" s="180"/>
      <c r="M56" s="180">
        <f t="shared" si="18"/>
        <v>22.473765</v>
      </c>
      <c r="N56" s="180"/>
    </row>
    <row r="57" s="1" customFormat="1" ht="26.25" customHeight="1" spans="1:14">
      <c r="A57" s="168" t="s">
        <v>1500</v>
      </c>
      <c r="B57" s="169" t="s">
        <v>1501</v>
      </c>
      <c r="C57" s="170" t="s">
        <v>1502</v>
      </c>
      <c r="D57" s="169" t="s">
        <v>1439</v>
      </c>
      <c r="E57" s="169" t="s">
        <v>1506</v>
      </c>
      <c r="F57" s="180">
        <f t="shared" si="17"/>
        <v>0.9</v>
      </c>
      <c r="G57" s="180">
        <v>0.9</v>
      </c>
      <c r="H57" s="180"/>
      <c r="I57" s="180"/>
      <c r="J57" s="180"/>
      <c r="K57" s="180"/>
      <c r="L57" s="180"/>
      <c r="M57" s="180">
        <f t="shared" si="18"/>
        <v>0.9</v>
      </c>
      <c r="N57" s="180"/>
    </row>
    <row r="58" s="1" customFormat="1" ht="26.25" customHeight="1" spans="1:14">
      <c r="A58" s="168" t="s">
        <v>1500</v>
      </c>
      <c r="B58" s="169" t="s">
        <v>1501</v>
      </c>
      <c r="C58" s="170" t="s">
        <v>1502</v>
      </c>
      <c r="D58" s="169" t="s">
        <v>1439</v>
      </c>
      <c r="E58" s="169" t="s">
        <v>1507</v>
      </c>
      <c r="F58" s="180">
        <f t="shared" si="17"/>
        <v>5.317731</v>
      </c>
      <c r="G58" s="180">
        <v>5.317731</v>
      </c>
      <c r="H58" s="180"/>
      <c r="I58" s="180"/>
      <c r="J58" s="180"/>
      <c r="K58" s="180"/>
      <c r="L58" s="180"/>
      <c r="M58" s="180">
        <f t="shared" si="18"/>
        <v>5.317731</v>
      </c>
      <c r="N58" s="180"/>
    </row>
    <row r="59" s="1" customFormat="1" ht="26.25" customHeight="1" spans="1:14">
      <c r="A59" s="168" t="s">
        <v>1500</v>
      </c>
      <c r="B59" s="169" t="s">
        <v>1501</v>
      </c>
      <c r="C59" s="170" t="s">
        <v>1502</v>
      </c>
      <c r="D59" s="169" t="s">
        <v>1439</v>
      </c>
      <c r="E59" s="169" t="s">
        <v>1508</v>
      </c>
      <c r="F59" s="180">
        <f t="shared" si="17"/>
        <v>476.70098</v>
      </c>
      <c r="G59" s="180">
        <v>476.70098</v>
      </c>
      <c r="H59" s="180"/>
      <c r="I59" s="180"/>
      <c r="J59" s="180"/>
      <c r="K59" s="180"/>
      <c r="L59" s="180"/>
      <c r="M59" s="180">
        <f t="shared" si="18"/>
        <v>476.70098</v>
      </c>
      <c r="N59" s="180"/>
    </row>
    <row r="60" s="1" customFormat="1" ht="26.25" customHeight="1" spans="1:14">
      <c r="A60" s="168" t="s">
        <v>1500</v>
      </c>
      <c r="B60" s="169" t="s">
        <v>1501</v>
      </c>
      <c r="C60" s="170" t="s">
        <v>1502</v>
      </c>
      <c r="D60" s="169" t="s">
        <v>1439</v>
      </c>
      <c r="E60" s="169" t="s">
        <v>1509</v>
      </c>
      <c r="F60" s="180">
        <f t="shared" si="17"/>
        <v>161.326646</v>
      </c>
      <c r="G60" s="180">
        <v>161.326646</v>
      </c>
      <c r="H60" s="180"/>
      <c r="I60" s="180"/>
      <c r="J60" s="180"/>
      <c r="K60" s="180"/>
      <c r="L60" s="180"/>
      <c r="M60" s="180">
        <f t="shared" si="18"/>
        <v>161.326646</v>
      </c>
      <c r="N60" s="180"/>
    </row>
    <row r="61" s="1" customFormat="1" ht="26.25" customHeight="1" spans="1:14">
      <c r="A61" s="168" t="s">
        <v>1500</v>
      </c>
      <c r="B61" s="169" t="s">
        <v>1501</v>
      </c>
      <c r="C61" s="170" t="s">
        <v>1502</v>
      </c>
      <c r="D61" s="169" t="s">
        <v>1439</v>
      </c>
      <c r="E61" s="169" t="s">
        <v>1510</v>
      </c>
      <c r="F61" s="180">
        <f t="shared" si="17"/>
        <v>59.930038</v>
      </c>
      <c r="G61" s="180">
        <v>59.930038</v>
      </c>
      <c r="H61" s="180"/>
      <c r="I61" s="180"/>
      <c r="J61" s="180"/>
      <c r="K61" s="180"/>
      <c r="L61" s="180"/>
      <c r="M61" s="180">
        <f t="shared" si="18"/>
        <v>59.930038</v>
      </c>
      <c r="N61" s="180"/>
    </row>
    <row r="62" s="1" customFormat="1" ht="26.25" customHeight="1" spans="1:14">
      <c r="A62" s="168" t="s">
        <v>1500</v>
      </c>
      <c r="B62" s="169" t="s">
        <v>1501</v>
      </c>
      <c r="C62" s="170" t="s">
        <v>1502</v>
      </c>
      <c r="D62" s="169" t="s">
        <v>1439</v>
      </c>
      <c r="E62" s="169" t="s">
        <v>1511</v>
      </c>
      <c r="F62" s="180">
        <f t="shared" si="17"/>
        <v>48.527196</v>
      </c>
      <c r="G62" s="180">
        <v>48.527196</v>
      </c>
      <c r="H62" s="180"/>
      <c r="I62" s="180"/>
      <c r="J62" s="180"/>
      <c r="K62" s="180"/>
      <c r="L62" s="180"/>
      <c r="M62" s="180">
        <f t="shared" si="18"/>
        <v>48.527196</v>
      </c>
      <c r="N62" s="180"/>
    </row>
    <row r="63" s="1" customFormat="1" ht="26.25" customHeight="1" spans="1:14">
      <c r="A63" s="189" t="s">
        <v>1512</v>
      </c>
      <c r="B63" s="190" t="s">
        <v>1288</v>
      </c>
      <c r="C63" s="191"/>
      <c r="D63" s="192"/>
      <c r="E63" s="192"/>
      <c r="F63" s="167">
        <f t="shared" ref="F63:M63" si="19">SUM(F64:F72)</f>
        <v>489.148682</v>
      </c>
      <c r="G63" s="167">
        <f t="shared" si="19"/>
        <v>489.148682</v>
      </c>
      <c r="H63" s="167">
        <f t="shared" si="19"/>
        <v>0</v>
      </c>
      <c r="I63" s="167">
        <f t="shared" si="19"/>
        <v>0</v>
      </c>
      <c r="J63" s="167">
        <f t="shared" si="19"/>
        <v>0</v>
      </c>
      <c r="K63" s="167">
        <f t="shared" si="19"/>
        <v>0</v>
      </c>
      <c r="L63" s="167">
        <f t="shared" si="19"/>
        <v>0</v>
      </c>
      <c r="M63" s="167">
        <f t="shared" si="19"/>
        <v>489.148682</v>
      </c>
      <c r="N63" s="167"/>
    </row>
    <row r="64" s="1" customFormat="1" ht="26.25" customHeight="1" spans="1:14">
      <c r="A64" s="168" t="s">
        <v>1513</v>
      </c>
      <c r="B64" s="169" t="s">
        <v>1514</v>
      </c>
      <c r="C64" s="170" t="s">
        <v>1515</v>
      </c>
      <c r="D64" s="169" t="s">
        <v>1439</v>
      </c>
      <c r="E64" s="169" t="s">
        <v>1516</v>
      </c>
      <c r="F64" s="180">
        <f t="shared" ref="F64:F72" si="20">SUM(G64:H64)</f>
        <v>12.707926</v>
      </c>
      <c r="G64" s="180">
        <v>12.707926</v>
      </c>
      <c r="H64" s="180"/>
      <c r="I64" s="180"/>
      <c r="J64" s="180"/>
      <c r="K64" s="180"/>
      <c r="L64" s="180"/>
      <c r="M64" s="180">
        <f t="shared" ref="M64:M72" si="21">F64+I64+J64+K64-L64</f>
        <v>12.707926</v>
      </c>
      <c r="N64" s="180"/>
    </row>
    <row r="65" s="1" customFormat="1" ht="26.25" customHeight="1" spans="1:14">
      <c r="A65" s="168" t="s">
        <v>1513</v>
      </c>
      <c r="B65" s="169" t="s">
        <v>1514</v>
      </c>
      <c r="C65" s="170" t="s">
        <v>1515</v>
      </c>
      <c r="D65" s="169" t="s">
        <v>1439</v>
      </c>
      <c r="E65" s="169" t="s">
        <v>1517</v>
      </c>
      <c r="F65" s="180">
        <f t="shared" si="20"/>
        <v>22</v>
      </c>
      <c r="G65" s="180">
        <v>22</v>
      </c>
      <c r="H65" s="180"/>
      <c r="I65" s="180"/>
      <c r="J65" s="180"/>
      <c r="K65" s="180"/>
      <c r="L65" s="180"/>
      <c r="M65" s="180">
        <f t="shared" si="21"/>
        <v>22</v>
      </c>
      <c r="N65" s="180"/>
    </row>
    <row r="66" s="1" customFormat="1" ht="26.25" customHeight="1" spans="1:14">
      <c r="A66" s="168" t="s">
        <v>1513</v>
      </c>
      <c r="B66" s="169" t="s">
        <v>1514</v>
      </c>
      <c r="C66" s="170" t="s">
        <v>1515</v>
      </c>
      <c r="D66" s="169" t="s">
        <v>1439</v>
      </c>
      <c r="E66" s="169" t="s">
        <v>1518</v>
      </c>
      <c r="F66" s="180">
        <f t="shared" si="20"/>
        <v>4.59265</v>
      </c>
      <c r="G66" s="180">
        <v>4.59265</v>
      </c>
      <c r="H66" s="180"/>
      <c r="I66" s="180"/>
      <c r="J66" s="180"/>
      <c r="K66" s="180"/>
      <c r="L66" s="180"/>
      <c r="M66" s="180">
        <f t="shared" si="21"/>
        <v>4.59265</v>
      </c>
      <c r="N66" s="180"/>
    </row>
    <row r="67" s="1" customFormat="1" ht="26.25" customHeight="1" spans="1:14">
      <c r="A67" s="168" t="s">
        <v>1513</v>
      </c>
      <c r="B67" s="169" t="s">
        <v>1514</v>
      </c>
      <c r="C67" s="170" t="s">
        <v>1515</v>
      </c>
      <c r="D67" s="169" t="s">
        <v>1439</v>
      </c>
      <c r="E67" s="169" t="s">
        <v>1519</v>
      </c>
      <c r="F67" s="180">
        <f t="shared" si="20"/>
        <v>34.697208</v>
      </c>
      <c r="G67" s="180">
        <v>34.697208</v>
      </c>
      <c r="H67" s="180"/>
      <c r="I67" s="180"/>
      <c r="J67" s="180"/>
      <c r="K67" s="180"/>
      <c r="L67" s="180"/>
      <c r="M67" s="180">
        <f t="shared" si="21"/>
        <v>34.697208</v>
      </c>
      <c r="N67" s="180"/>
    </row>
    <row r="68" s="1" customFormat="1" ht="26.25" customHeight="1" spans="1:14">
      <c r="A68" s="168" t="s">
        <v>1513</v>
      </c>
      <c r="B68" s="169" t="s">
        <v>1514</v>
      </c>
      <c r="C68" s="170" t="s">
        <v>1515</v>
      </c>
      <c r="D68" s="169" t="s">
        <v>1439</v>
      </c>
      <c r="E68" s="169" t="s">
        <v>1520</v>
      </c>
      <c r="F68" s="180">
        <f t="shared" si="20"/>
        <v>8.328</v>
      </c>
      <c r="G68" s="180">
        <v>8.328</v>
      </c>
      <c r="H68" s="180"/>
      <c r="I68" s="180"/>
      <c r="J68" s="180"/>
      <c r="K68" s="180"/>
      <c r="L68" s="180"/>
      <c r="M68" s="180">
        <f t="shared" si="21"/>
        <v>8.328</v>
      </c>
      <c r="N68" s="180"/>
    </row>
    <row r="69" s="1" customFormat="1" ht="26.25" customHeight="1" spans="1:14">
      <c r="A69" s="168" t="s">
        <v>1513</v>
      </c>
      <c r="B69" s="169" t="s">
        <v>1514</v>
      </c>
      <c r="C69" s="170" t="s">
        <v>1515</v>
      </c>
      <c r="D69" s="169" t="s">
        <v>1439</v>
      </c>
      <c r="E69" s="169" t="s">
        <v>1521</v>
      </c>
      <c r="F69" s="180">
        <f t="shared" si="20"/>
        <v>274.07036</v>
      </c>
      <c r="G69" s="180">
        <v>274.07036</v>
      </c>
      <c r="H69" s="180"/>
      <c r="I69" s="180"/>
      <c r="J69" s="180"/>
      <c r="K69" s="180"/>
      <c r="L69" s="180"/>
      <c r="M69" s="180">
        <f t="shared" si="21"/>
        <v>274.07036</v>
      </c>
      <c r="N69" s="180"/>
    </row>
    <row r="70" s="1" customFormat="1" ht="26.25" customHeight="1" spans="1:14">
      <c r="A70" s="168" t="s">
        <v>1513</v>
      </c>
      <c r="B70" s="169" t="s">
        <v>1514</v>
      </c>
      <c r="C70" s="170" t="s">
        <v>1515</v>
      </c>
      <c r="D70" s="169" t="s">
        <v>1439</v>
      </c>
      <c r="E70" s="169" t="s">
        <v>1522</v>
      </c>
      <c r="F70" s="180">
        <f t="shared" si="20"/>
        <v>97.874735</v>
      </c>
      <c r="G70" s="180">
        <v>97.874735</v>
      </c>
      <c r="H70" s="180"/>
      <c r="I70" s="180"/>
      <c r="J70" s="180"/>
      <c r="K70" s="180"/>
      <c r="L70" s="180"/>
      <c r="M70" s="180">
        <f t="shared" si="21"/>
        <v>97.874735</v>
      </c>
      <c r="N70" s="180"/>
    </row>
    <row r="71" s="1" customFormat="1" ht="26.25" customHeight="1" spans="1:14">
      <c r="A71" s="168" t="s">
        <v>1513</v>
      </c>
      <c r="B71" s="169" t="s">
        <v>1514</v>
      </c>
      <c r="C71" s="170" t="s">
        <v>1515</v>
      </c>
      <c r="D71" s="169" t="s">
        <v>1439</v>
      </c>
      <c r="E71" s="169" t="s">
        <v>1523</v>
      </c>
      <c r="F71" s="180">
        <f t="shared" si="20"/>
        <v>33.887803</v>
      </c>
      <c r="G71" s="180">
        <v>33.887803</v>
      </c>
      <c r="H71" s="180"/>
      <c r="I71" s="180"/>
      <c r="J71" s="180"/>
      <c r="K71" s="180"/>
      <c r="L71" s="180"/>
      <c r="M71" s="180">
        <f t="shared" si="21"/>
        <v>33.887803</v>
      </c>
      <c r="N71" s="180"/>
    </row>
    <row r="72" s="1" customFormat="1" ht="26.25" customHeight="1" spans="1:14">
      <c r="A72" s="168" t="s">
        <v>1513</v>
      </c>
      <c r="B72" s="169" t="s">
        <v>1514</v>
      </c>
      <c r="C72" s="170" t="s">
        <v>1515</v>
      </c>
      <c r="D72" s="169" t="s">
        <v>1439</v>
      </c>
      <c r="E72" s="169" t="s">
        <v>1524</v>
      </c>
      <c r="F72" s="180">
        <f t="shared" si="20"/>
        <v>0.99</v>
      </c>
      <c r="G72" s="180">
        <v>0.99</v>
      </c>
      <c r="H72" s="180"/>
      <c r="I72" s="180"/>
      <c r="J72" s="180"/>
      <c r="K72" s="180"/>
      <c r="L72" s="180"/>
      <c r="M72" s="180">
        <f t="shared" si="21"/>
        <v>0.99</v>
      </c>
      <c r="N72" s="180"/>
    </row>
    <row r="73" s="1" customFormat="1" ht="26.25" customHeight="1" spans="1:14">
      <c r="A73" s="189" t="s">
        <v>1525</v>
      </c>
      <c r="B73" s="190" t="s">
        <v>1526</v>
      </c>
      <c r="C73" s="191"/>
      <c r="D73" s="192"/>
      <c r="E73" s="192"/>
      <c r="F73" s="167">
        <f t="shared" ref="F73:M73" si="22">SUM(F74:F82)</f>
        <v>186.867267</v>
      </c>
      <c r="G73" s="167">
        <f t="shared" si="22"/>
        <v>186.867267</v>
      </c>
      <c r="H73" s="167">
        <f t="shared" si="22"/>
        <v>0</v>
      </c>
      <c r="I73" s="167">
        <f t="shared" si="22"/>
        <v>0</v>
      </c>
      <c r="J73" s="167">
        <f t="shared" si="22"/>
        <v>0</v>
      </c>
      <c r="K73" s="167">
        <f t="shared" si="22"/>
        <v>0</v>
      </c>
      <c r="L73" s="167">
        <f t="shared" si="22"/>
        <v>0</v>
      </c>
      <c r="M73" s="167">
        <f t="shared" si="22"/>
        <v>186.867267</v>
      </c>
      <c r="N73" s="167"/>
    </row>
    <row r="74" s="1" customFormat="1" ht="26.25" customHeight="1" spans="1:14">
      <c r="A74" s="168" t="s">
        <v>1527</v>
      </c>
      <c r="B74" s="169" t="s">
        <v>1528</v>
      </c>
      <c r="C74" s="170" t="s">
        <v>1529</v>
      </c>
      <c r="D74" s="169" t="s">
        <v>1439</v>
      </c>
      <c r="E74" s="169" t="s">
        <v>1530</v>
      </c>
      <c r="F74" s="180">
        <f t="shared" ref="F74:F82" si="23">SUM(G74:H74)</f>
        <v>4.648658</v>
      </c>
      <c r="G74" s="180">
        <v>4.648658</v>
      </c>
      <c r="H74" s="180"/>
      <c r="I74" s="180"/>
      <c r="J74" s="180"/>
      <c r="K74" s="180"/>
      <c r="L74" s="180"/>
      <c r="M74" s="180">
        <f t="shared" ref="M74:M82" si="24">F74+I74+J74+K74-L74</f>
        <v>4.648658</v>
      </c>
      <c r="N74" s="180"/>
    </row>
    <row r="75" s="1" customFormat="1" ht="26.25" customHeight="1" spans="1:14">
      <c r="A75" s="168" t="s">
        <v>1527</v>
      </c>
      <c r="B75" s="169" t="s">
        <v>1528</v>
      </c>
      <c r="C75" s="170" t="s">
        <v>1529</v>
      </c>
      <c r="D75" s="169" t="s">
        <v>1439</v>
      </c>
      <c r="E75" s="169" t="s">
        <v>1531</v>
      </c>
      <c r="F75" s="180">
        <f t="shared" si="23"/>
        <v>0.6</v>
      </c>
      <c r="G75" s="180">
        <v>0.6</v>
      </c>
      <c r="H75" s="180"/>
      <c r="I75" s="180"/>
      <c r="J75" s="180"/>
      <c r="K75" s="180"/>
      <c r="L75" s="180"/>
      <c r="M75" s="180">
        <f t="shared" si="24"/>
        <v>0.6</v>
      </c>
      <c r="N75" s="180"/>
    </row>
    <row r="76" s="1" customFormat="1" ht="26.25" customHeight="1" spans="1:14">
      <c r="A76" s="168" t="s">
        <v>1527</v>
      </c>
      <c r="B76" s="169" t="s">
        <v>1528</v>
      </c>
      <c r="C76" s="170" t="s">
        <v>1529</v>
      </c>
      <c r="D76" s="169" t="s">
        <v>1439</v>
      </c>
      <c r="E76" s="169" t="s">
        <v>1532</v>
      </c>
      <c r="F76" s="180">
        <f t="shared" si="23"/>
        <v>33.561836</v>
      </c>
      <c r="G76" s="180">
        <v>33.561836</v>
      </c>
      <c r="H76" s="180"/>
      <c r="I76" s="180"/>
      <c r="J76" s="180"/>
      <c r="K76" s="180"/>
      <c r="L76" s="180"/>
      <c r="M76" s="180">
        <f t="shared" si="24"/>
        <v>33.561836</v>
      </c>
      <c r="N76" s="180"/>
    </row>
    <row r="77" s="1" customFormat="1" ht="26.25" customHeight="1" spans="1:14">
      <c r="A77" s="168" t="s">
        <v>1527</v>
      </c>
      <c r="B77" s="169" t="s">
        <v>1528</v>
      </c>
      <c r="C77" s="170" t="s">
        <v>1529</v>
      </c>
      <c r="D77" s="169" t="s">
        <v>1439</v>
      </c>
      <c r="E77" s="169" t="s">
        <v>1533</v>
      </c>
      <c r="F77" s="180">
        <f t="shared" si="23"/>
        <v>4.848</v>
      </c>
      <c r="G77" s="180">
        <v>4.848</v>
      </c>
      <c r="H77" s="180"/>
      <c r="I77" s="180"/>
      <c r="J77" s="180"/>
      <c r="K77" s="180"/>
      <c r="L77" s="180"/>
      <c r="M77" s="180">
        <f t="shared" si="24"/>
        <v>4.848</v>
      </c>
      <c r="N77" s="180"/>
    </row>
    <row r="78" s="1" customFormat="1" ht="26.25" customHeight="1" spans="1:14">
      <c r="A78" s="168" t="s">
        <v>1527</v>
      </c>
      <c r="B78" s="169" t="s">
        <v>1528</v>
      </c>
      <c r="C78" s="170" t="s">
        <v>1529</v>
      </c>
      <c r="D78" s="169" t="s">
        <v>1439</v>
      </c>
      <c r="E78" s="169" t="s">
        <v>1534</v>
      </c>
      <c r="F78" s="180">
        <f t="shared" si="23"/>
        <v>8</v>
      </c>
      <c r="G78" s="180">
        <v>8</v>
      </c>
      <c r="H78" s="180"/>
      <c r="I78" s="180"/>
      <c r="J78" s="180"/>
      <c r="K78" s="180"/>
      <c r="L78" s="180"/>
      <c r="M78" s="180">
        <f t="shared" si="24"/>
        <v>8</v>
      </c>
      <c r="N78" s="180"/>
    </row>
    <row r="79" s="1" customFormat="1" ht="26.25" customHeight="1" spans="1:14">
      <c r="A79" s="168" t="s">
        <v>1527</v>
      </c>
      <c r="B79" s="169" t="s">
        <v>1528</v>
      </c>
      <c r="C79" s="170" t="s">
        <v>1529</v>
      </c>
      <c r="D79" s="169" t="s">
        <v>1439</v>
      </c>
      <c r="E79" s="169" t="s">
        <v>1535</v>
      </c>
      <c r="F79" s="180">
        <f t="shared" si="23"/>
        <v>98.4555</v>
      </c>
      <c r="G79" s="180">
        <v>98.4555</v>
      </c>
      <c r="H79" s="180"/>
      <c r="I79" s="180"/>
      <c r="J79" s="180"/>
      <c r="K79" s="180"/>
      <c r="L79" s="180"/>
      <c r="M79" s="180">
        <f t="shared" si="24"/>
        <v>98.4555</v>
      </c>
      <c r="N79" s="180"/>
    </row>
    <row r="80" s="1" customFormat="1" ht="26.25" customHeight="1" spans="1:14">
      <c r="A80" s="168" t="s">
        <v>1527</v>
      </c>
      <c r="B80" s="169" t="s">
        <v>1528</v>
      </c>
      <c r="C80" s="170" t="s">
        <v>1529</v>
      </c>
      <c r="D80" s="169" t="s">
        <v>1439</v>
      </c>
      <c r="E80" s="169" t="s">
        <v>1536</v>
      </c>
      <c r="F80" s="180">
        <f t="shared" si="23"/>
        <v>21.292404</v>
      </c>
      <c r="G80" s="180">
        <v>21.292404</v>
      </c>
      <c r="H80" s="180"/>
      <c r="I80" s="180"/>
      <c r="J80" s="180"/>
      <c r="K80" s="180"/>
      <c r="L80" s="180"/>
      <c r="M80" s="180">
        <f t="shared" si="24"/>
        <v>21.292404</v>
      </c>
      <c r="N80" s="180"/>
    </row>
    <row r="81" s="1" customFormat="1" ht="26.25" customHeight="1" spans="1:14">
      <c r="A81" s="168" t="s">
        <v>1527</v>
      </c>
      <c r="B81" s="169" t="s">
        <v>1528</v>
      </c>
      <c r="C81" s="170" t="s">
        <v>1529</v>
      </c>
      <c r="D81" s="169" t="s">
        <v>1439</v>
      </c>
      <c r="E81" s="169" t="s">
        <v>1537</v>
      </c>
      <c r="F81" s="180">
        <f t="shared" si="23"/>
        <v>3.064449</v>
      </c>
      <c r="G81" s="180">
        <v>3.064449</v>
      </c>
      <c r="H81" s="180"/>
      <c r="I81" s="180"/>
      <c r="J81" s="180"/>
      <c r="K81" s="180"/>
      <c r="L81" s="180"/>
      <c r="M81" s="180">
        <f t="shared" si="24"/>
        <v>3.064449</v>
      </c>
      <c r="N81" s="180"/>
    </row>
    <row r="82" s="1" customFormat="1" ht="26.25" customHeight="1" spans="1:14">
      <c r="A82" s="168" t="s">
        <v>1527</v>
      </c>
      <c r="B82" s="169" t="s">
        <v>1528</v>
      </c>
      <c r="C82" s="170" t="s">
        <v>1529</v>
      </c>
      <c r="D82" s="169" t="s">
        <v>1439</v>
      </c>
      <c r="E82" s="169" t="s">
        <v>1538</v>
      </c>
      <c r="F82" s="180">
        <f t="shared" si="23"/>
        <v>12.39642</v>
      </c>
      <c r="G82" s="180">
        <v>12.39642</v>
      </c>
      <c r="H82" s="180"/>
      <c r="I82" s="180"/>
      <c r="J82" s="180"/>
      <c r="K82" s="180"/>
      <c r="L82" s="180"/>
      <c r="M82" s="180">
        <f t="shared" si="24"/>
        <v>12.39642</v>
      </c>
      <c r="N82" s="180"/>
    </row>
    <row r="83" s="1" customFormat="1" ht="26.25" customHeight="1" spans="1:14">
      <c r="A83" s="189" t="s">
        <v>1539</v>
      </c>
      <c r="B83" s="190" t="s">
        <v>1540</v>
      </c>
      <c r="C83" s="191"/>
      <c r="D83" s="192"/>
      <c r="E83" s="192"/>
      <c r="F83" s="167">
        <f t="shared" ref="F83:M83" si="25">SUM(F84:F92)</f>
        <v>186.640553</v>
      </c>
      <c r="G83" s="167">
        <f t="shared" si="25"/>
        <v>186.640553</v>
      </c>
      <c r="H83" s="167">
        <f t="shared" si="25"/>
        <v>0</v>
      </c>
      <c r="I83" s="167">
        <f t="shared" si="25"/>
        <v>0</v>
      </c>
      <c r="J83" s="167">
        <f t="shared" si="25"/>
        <v>0</v>
      </c>
      <c r="K83" s="167">
        <f t="shared" si="25"/>
        <v>0</v>
      </c>
      <c r="L83" s="167">
        <f t="shared" si="25"/>
        <v>0</v>
      </c>
      <c r="M83" s="167">
        <f t="shared" si="25"/>
        <v>186.640553</v>
      </c>
      <c r="N83" s="167"/>
    </row>
    <row r="84" s="1" customFormat="1" ht="26.25" customHeight="1" spans="1:14">
      <c r="A84" s="168" t="s">
        <v>1541</v>
      </c>
      <c r="B84" s="169" t="s">
        <v>1542</v>
      </c>
      <c r="C84" s="170" t="s">
        <v>1543</v>
      </c>
      <c r="D84" s="169" t="s">
        <v>1439</v>
      </c>
      <c r="E84" s="169" t="s">
        <v>1544</v>
      </c>
      <c r="F84" s="180">
        <f t="shared" ref="F84:F92" si="26">SUM(G84:H84)</f>
        <v>7</v>
      </c>
      <c r="G84" s="180">
        <v>7</v>
      </c>
      <c r="H84" s="180"/>
      <c r="I84" s="180"/>
      <c r="J84" s="180"/>
      <c r="K84" s="180"/>
      <c r="L84" s="180"/>
      <c r="M84" s="180">
        <f t="shared" ref="M84:M92" si="27">F84+I84+J84+K84-L84</f>
        <v>7</v>
      </c>
      <c r="N84" s="180"/>
    </row>
    <row r="85" s="1" customFormat="1" ht="26.25" customHeight="1" spans="1:14">
      <c r="A85" s="168" t="s">
        <v>1541</v>
      </c>
      <c r="B85" s="169" t="s">
        <v>1542</v>
      </c>
      <c r="C85" s="170" t="s">
        <v>1543</v>
      </c>
      <c r="D85" s="169" t="s">
        <v>1439</v>
      </c>
      <c r="E85" s="169" t="s">
        <v>1545</v>
      </c>
      <c r="F85" s="180">
        <f t="shared" si="26"/>
        <v>29.793192</v>
      </c>
      <c r="G85" s="180">
        <v>29.793192</v>
      </c>
      <c r="H85" s="180"/>
      <c r="I85" s="180"/>
      <c r="J85" s="180"/>
      <c r="K85" s="180"/>
      <c r="L85" s="180"/>
      <c r="M85" s="180">
        <f t="shared" si="27"/>
        <v>29.793192</v>
      </c>
      <c r="N85" s="180"/>
    </row>
    <row r="86" s="1" customFormat="1" ht="26.25" customHeight="1" spans="1:14">
      <c r="A86" s="168" t="s">
        <v>1541</v>
      </c>
      <c r="B86" s="169" t="s">
        <v>1542</v>
      </c>
      <c r="C86" s="170" t="s">
        <v>1543</v>
      </c>
      <c r="D86" s="169" t="s">
        <v>1439</v>
      </c>
      <c r="E86" s="169" t="s">
        <v>1546</v>
      </c>
      <c r="F86" s="180">
        <f t="shared" si="26"/>
        <v>4.130782</v>
      </c>
      <c r="G86" s="180">
        <v>4.130782</v>
      </c>
      <c r="H86" s="180"/>
      <c r="I86" s="180"/>
      <c r="J86" s="180"/>
      <c r="K86" s="180"/>
      <c r="L86" s="180"/>
      <c r="M86" s="180">
        <f t="shared" si="27"/>
        <v>4.130782</v>
      </c>
      <c r="N86" s="180"/>
    </row>
    <row r="87" s="1" customFormat="1" ht="26.25" customHeight="1" spans="1:14">
      <c r="A87" s="168" t="s">
        <v>1541</v>
      </c>
      <c r="B87" s="169" t="s">
        <v>1542</v>
      </c>
      <c r="C87" s="170" t="s">
        <v>1543</v>
      </c>
      <c r="D87" s="169" t="s">
        <v>1439</v>
      </c>
      <c r="E87" s="169" t="s">
        <v>1547</v>
      </c>
      <c r="F87" s="180">
        <f t="shared" si="26"/>
        <v>92.8136</v>
      </c>
      <c r="G87" s="180">
        <v>92.8136</v>
      </c>
      <c r="H87" s="180"/>
      <c r="I87" s="180"/>
      <c r="J87" s="180"/>
      <c r="K87" s="180"/>
      <c r="L87" s="180"/>
      <c r="M87" s="180">
        <f t="shared" si="27"/>
        <v>92.8136</v>
      </c>
      <c r="N87" s="180"/>
    </row>
    <row r="88" s="1" customFormat="1" ht="26.25" customHeight="1" spans="1:14">
      <c r="A88" s="168" t="s">
        <v>1541</v>
      </c>
      <c r="B88" s="169" t="s">
        <v>1542</v>
      </c>
      <c r="C88" s="170" t="s">
        <v>1543</v>
      </c>
      <c r="D88" s="169" t="s">
        <v>1439</v>
      </c>
      <c r="E88" s="169" t="s">
        <v>1548</v>
      </c>
      <c r="F88" s="180">
        <f t="shared" si="26"/>
        <v>32.385035</v>
      </c>
      <c r="G88" s="180">
        <v>32.385035</v>
      </c>
      <c r="H88" s="180"/>
      <c r="I88" s="180"/>
      <c r="J88" s="180"/>
      <c r="K88" s="180"/>
      <c r="L88" s="180"/>
      <c r="M88" s="180">
        <f t="shared" si="27"/>
        <v>32.385035</v>
      </c>
      <c r="N88" s="180"/>
    </row>
    <row r="89" s="1" customFormat="1" ht="26.25" customHeight="1" spans="1:14">
      <c r="A89" s="168" t="s">
        <v>1541</v>
      </c>
      <c r="B89" s="169" t="s">
        <v>1542</v>
      </c>
      <c r="C89" s="170" t="s">
        <v>1543</v>
      </c>
      <c r="D89" s="169" t="s">
        <v>1439</v>
      </c>
      <c r="E89" s="169" t="s">
        <v>1549</v>
      </c>
      <c r="F89" s="180">
        <f t="shared" si="26"/>
        <v>11.591232</v>
      </c>
      <c r="G89" s="180">
        <v>11.591232</v>
      </c>
      <c r="H89" s="180"/>
      <c r="I89" s="180"/>
      <c r="J89" s="180"/>
      <c r="K89" s="180"/>
      <c r="L89" s="180"/>
      <c r="M89" s="180">
        <f t="shared" si="27"/>
        <v>11.591232</v>
      </c>
      <c r="N89" s="180"/>
    </row>
    <row r="90" s="1" customFormat="1" ht="26.25" customHeight="1" spans="1:14">
      <c r="A90" s="168" t="s">
        <v>1541</v>
      </c>
      <c r="B90" s="169" t="s">
        <v>1542</v>
      </c>
      <c r="C90" s="170" t="s">
        <v>1543</v>
      </c>
      <c r="D90" s="169" t="s">
        <v>1439</v>
      </c>
      <c r="E90" s="169" t="s">
        <v>1550</v>
      </c>
      <c r="F90" s="180">
        <f t="shared" si="26"/>
        <v>3.78</v>
      </c>
      <c r="G90" s="180">
        <v>3.78</v>
      </c>
      <c r="H90" s="180"/>
      <c r="I90" s="180"/>
      <c r="J90" s="180"/>
      <c r="K90" s="180"/>
      <c r="L90" s="180"/>
      <c r="M90" s="180">
        <f t="shared" si="27"/>
        <v>3.78</v>
      </c>
      <c r="N90" s="180"/>
    </row>
    <row r="91" s="1" customFormat="1" ht="26.25" customHeight="1" spans="1:14">
      <c r="A91" s="168" t="s">
        <v>1541</v>
      </c>
      <c r="B91" s="169" t="s">
        <v>1542</v>
      </c>
      <c r="C91" s="170" t="s">
        <v>1543</v>
      </c>
      <c r="D91" s="169" t="s">
        <v>1439</v>
      </c>
      <c r="E91" s="169" t="s">
        <v>1551</v>
      </c>
      <c r="F91" s="180">
        <f t="shared" si="26"/>
        <v>4.346712</v>
      </c>
      <c r="G91" s="180">
        <v>4.346712</v>
      </c>
      <c r="H91" s="180"/>
      <c r="I91" s="180"/>
      <c r="J91" s="180"/>
      <c r="K91" s="180"/>
      <c r="L91" s="180"/>
      <c r="M91" s="180">
        <f t="shared" si="27"/>
        <v>4.346712</v>
      </c>
      <c r="N91" s="180"/>
    </row>
    <row r="92" s="1" customFormat="1" ht="26.25" customHeight="1" spans="1:14">
      <c r="A92" s="168" t="s">
        <v>1541</v>
      </c>
      <c r="B92" s="169" t="s">
        <v>1542</v>
      </c>
      <c r="C92" s="170" t="s">
        <v>1543</v>
      </c>
      <c r="D92" s="169" t="s">
        <v>1439</v>
      </c>
      <c r="E92" s="169" t="s">
        <v>1552</v>
      </c>
      <c r="F92" s="180">
        <f t="shared" si="26"/>
        <v>0.8</v>
      </c>
      <c r="G92" s="180">
        <v>0.8</v>
      </c>
      <c r="H92" s="180"/>
      <c r="I92" s="180"/>
      <c r="J92" s="180"/>
      <c r="K92" s="180"/>
      <c r="L92" s="180"/>
      <c r="M92" s="180">
        <f t="shared" si="27"/>
        <v>0.8</v>
      </c>
      <c r="N92" s="180"/>
    </row>
    <row r="93" s="1" customFormat="1" ht="26.25" customHeight="1" spans="1:14">
      <c r="A93" s="189" t="s">
        <v>1553</v>
      </c>
      <c r="B93" s="190" t="s">
        <v>1554</v>
      </c>
      <c r="C93" s="191"/>
      <c r="D93" s="192"/>
      <c r="E93" s="192"/>
      <c r="F93" s="167">
        <f t="shared" ref="F93:M93" si="28">SUM(F94:F102)</f>
        <v>261.680627</v>
      </c>
      <c r="G93" s="167">
        <f t="shared" si="28"/>
        <v>261.680627</v>
      </c>
      <c r="H93" s="167">
        <f t="shared" si="28"/>
        <v>0</v>
      </c>
      <c r="I93" s="167">
        <f t="shared" si="28"/>
        <v>0</v>
      </c>
      <c r="J93" s="167">
        <f t="shared" si="28"/>
        <v>50</v>
      </c>
      <c r="K93" s="167">
        <f t="shared" si="28"/>
        <v>0</v>
      </c>
      <c r="L93" s="167">
        <f t="shared" si="28"/>
        <v>0</v>
      </c>
      <c r="M93" s="167">
        <f t="shared" si="28"/>
        <v>311.680627</v>
      </c>
      <c r="N93" s="167"/>
    </row>
    <row r="94" s="1" customFormat="1" ht="26.25" customHeight="1" spans="1:14">
      <c r="A94" s="168" t="s">
        <v>1555</v>
      </c>
      <c r="B94" s="169" t="s">
        <v>1556</v>
      </c>
      <c r="C94" s="170" t="s">
        <v>1557</v>
      </c>
      <c r="D94" s="169" t="s">
        <v>1439</v>
      </c>
      <c r="E94" s="169" t="s">
        <v>1558</v>
      </c>
      <c r="F94" s="180">
        <f t="shared" ref="F94:F102" si="29">SUM(G94:H94)</f>
        <v>53.260876</v>
      </c>
      <c r="G94" s="180">
        <v>53.260876</v>
      </c>
      <c r="H94" s="180"/>
      <c r="I94" s="180"/>
      <c r="J94" s="180"/>
      <c r="K94" s="180"/>
      <c r="L94" s="180"/>
      <c r="M94" s="180">
        <f t="shared" ref="M94:M102" si="30">F94+I94+J94+K94-L94</f>
        <v>53.260876</v>
      </c>
      <c r="N94" s="180"/>
    </row>
    <row r="95" s="1" customFormat="1" ht="26.25" customHeight="1" spans="1:14">
      <c r="A95" s="168" t="s">
        <v>1555</v>
      </c>
      <c r="B95" s="169" t="s">
        <v>1556</v>
      </c>
      <c r="C95" s="170" t="s">
        <v>1557</v>
      </c>
      <c r="D95" s="169" t="s">
        <v>1439</v>
      </c>
      <c r="E95" s="169" t="s">
        <v>1559</v>
      </c>
      <c r="F95" s="180">
        <f t="shared" si="29"/>
        <v>7.074971</v>
      </c>
      <c r="G95" s="180">
        <v>7.074971</v>
      </c>
      <c r="H95" s="180"/>
      <c r="I95" s="180"/>
      <c r="J95" s="180"/>
      <c r="K95" s="180"/>
      <c r="L95" s="180"/>
      <c r="M95" s="180">
        <f t="shared" si="30"/>
        <v>7.074971</v>
      </c>
      <c r="N95" s="180"/>
    </row>
    <row r="96" s="1" customFormat="1" ht="26.25" customHeight="1" spans="1:14">
      <c r="A96" s="168" t="s">
        <v>1555</v>
      </c>
      <c r="B96" s="169" t="s">
        <v>1556</v>
      </c>
      <c r="C96" s="170" t="s">
        <v>1557</v>
      </c>
      <c r="D96" s="169" t="s">
        <v>1439</v>
      </c>
      <c r="E96" s="169" t="s">
        <v>1560</v>
      </c>
      <c r="F96" s="180">
        <f t="shared" si="29"/>
        <v>1.383715</v>
      </c>
      <c r="G96" s="180">
        <v>1.383715</v>
      </c>
      <c r="H96" s="180"/>
      <c r="I96" s="180"/>
      <c r="J96" s="180"/>
      <c r="K96" s="180"/>
      <c r="L96" s="180"/>
      <c r="M96" s="180">
        <f t="shared" si="30"/>
        <v>1.383715</v>
      </c>
      <c r="N96" s="180"/>
    </row>
    <row r="97" s="1" customFormat="1" ht="26.25" customHeight="1" spans="1:14">
      <c r="A97" s="168" t="s">
        <v>1555</v>
      </c>
      <c r="B97" s="169" t="s">
        <v>1556</v>
      </c>
      <c r="C97" s="170" t="s">
        <v>1557</v>
      </c>
      <c r="D97" s="169" t="s">
        <v>1439</v>
      </c>
      <c r="E97" s="169" t="s">
        <v>1561</v>
      </c>
      <c r="F97" s="180">
        <f t="shared" si="29"/>
        <v>11</v>
      </c>
      <c r="G97" s="180">
        <v>11</v>
      </c>
      <c r="H97" s="180"/>
      <c r="I97" s="180"/>
      <c r="J97" s="180"/>
      <c r="K97" s="180"/>
      <c r="L97" s="180"/>
      <c r="M97" s="180">
        <f t="shared" si="30"/>
        <v>11</v>
      </c>
      <c r="N97" s="180"/>
    </row>
    <row r="98" s="1" customFormat="1" ht="26.25" customHeight="1" spans="1:14">
      <c r="A98" s="168" t="s">
        <v>1555</v>
      </c>
      <c r="B98" s="169" t="s">
        <v>1556</v>
      </c>
      <c r="C98" s="170" t="s">
        <v>1557</v>
      </c>
      <c r="D98" s="169" t="s">
        <v>1439</v>
      </c>
      <c r="E98" s="169" t="s">
        <v>1562</v>
      </c>
      <c r="F98" s="180">
        <f t="shared" si="29"/>
        <v>18.866589</v>
      </c>
      <c r="G98" s="180">
        <v>18.866589</v>
      </c>
      <c r="H98" s="180"/>
      <c r="I98" s="180"/>
      <c r="J98" s="180"/>
      <c r="K98" s="180"/>
      <c r="L98" s="180"/>
      <c r="M98" s="180">
        <f t="shared" si="30"/>
        <v>18.866589</v>
      </c>
      <c r="N98" s="180"/>
    </row>
    <row r="99" s="1" customFormat="1" ht="26.25" customHeight="1" spans="1:14">
      <c r="A99" s="168" t="s">
        <v>1555</v>
      </c>
      <c r="B99" s="169" t="s">
        <v>1556</v>
      </c>
      <c r="C99" s="170" t="s">
        <v>1557</v>
      </c>
      <c r="D99" s="169" t="s">
        <v>1439</v>
      </c>
      <c r="E99" s="169" t="s">
        <v>1563</v>
      </c>
      <c r="F99" s="180">
        <f t="shared" si="29"/>
        <v>7.008</v>
      </c>
      <c r="G99" s="180">
        <v>7.008</v>
      </c>
      <c r="H99" s="180"/>
      <c r="I99" s="180"/>
      <c r="J99" s="180"/>
      <c r="K99" s="180"/>
      <c r="L99" s="180"/>
      <c r="M99" s="180">
        <f t="shared" si="30"/>
        <v>7.008</v>
      </c>
      <c r="N99" s="180"/>
    </row>
    <row r="100" s="1" customFormat="1" ht="26.25" customHeight="1" spans="1:14">
      <c r="A100" s="168" t="s">
        <v>1555</v>
      </c>
      <c r="B100" s="169" t="s">
        <v>1556</v>
      </c>
      <c r="C100" s="170" t="s">
        <v>1557</v>
      </c>
      <c r="D100" s="169" t="s">
        <v>1439</v>
      </c>
      <c r="E100" s="169" t="s">
        <v>1564</v>
      </c>
      <c r="F100" s="180">
        <f t="shared" si="29"/>
        <v>0.26</v>
      </c>
      <c r="G100" s="180">
        <v>0.26</v>
      </c>
      <c r="H100" s="180"/>
      <c r="I100" s="180"/>
      <c r="J100" s="180"/>
      <c r="K100" s="180"/>
      <c r="L100" s="180"/>
      <c r="M100" s="180">
        <f t="shared" si="30"/>
        <v>0.26</v>
      </c>
      <c r="N100" s="180"/>
    </row>
    <row r="101" s="1" customFormat="1" ht="26.25" customHeight="1" spans="1:14">
      <c r="A101" s="168" t="s">
        <v>1555</v>
      </c>
      <c r="B101" s="169" t="s">
        <v>1556</v>
      </c>
      <c r="C101" s="170" t="s">
        <v>1557</v>
      </c>
      <c r="D101" s="169" t="s">
        <v>1439</v>
      </c>
      <c r="E101" s="169" t="s">
        <v>1565</v>
      </c>
      <c r="F101" s="180">
        <f t="shared" si="29"/>
        <v>150.213576</v>
      </c>
      <c r="G101" s="180">
        <v>150.213576</v>
      </c>
      <c r="H101" s="180"/>
      <c r="I101" s="180"/>
      <c r="J101" s="180">
        <v>50</v>
      </c>
      <c r="K101" s="180"/>
      <c r="L101" s="180"/>
      <c r="M101" s="180">
        <f t="shared" si="30"/>
        <v>200.213576</v>
      </c>
      <c r="N101" s="180"/>
    </row>
    <row r="102" s="1" customFormat="1" ht="26.25" customHeight="1" spans="1:14">
      <c r="A102" s="168" t="s">
        <v>1555</v>
      </c>
      <c r="B102" s="169" t="s">
        <v>1556</v>
      </c>
      <c r="C102" s="170" t="s">
        <v>1557</v>
      </c>
      <c r="D102" s="169" t="s">
        <v>1439</v>
      </c>
      <c r="E102" s="169" t="s">
        <v>1566</v>
      </c>
      <c r="F102" s="180">
        <f t="shared" si="29"/>
        <v>12.6129</v>
      </c>
      <c r="G102" s="180">
        <v>12.6129</v>
      </c>
      <c r="H102" s="180"/>
      <c r="I102" s="180"/>
      <c r="J102" s="180"/>
      <c r="K102" s="180"/>
      <c r="L102" s="180"/>
      <c r="M102" s="180">
        <f t="shared" si="30"/>
        <v>12.6129</v>
      </c>
      <c r="N102" s="180"/>
    </row>
    <row r="103" s="1" customFormat="1" ht="26.25" customHeight="1" spans="1:14">
      <c r="A103" s="189" t="s">
        <v>1567</v>
      </c>
      <c r="B103" s="190" t="s">
        <v>1568</v>
      </c>
      <c r="C103" s="191"/>
      <c r="D103" s="192"/>
      <c r="E103" s="192"/>
      <c r="F103" s="167">
        <f t="shared" ref="F103:M103" si="31">SUM(F104:F112)</f>
        <v>164.630383</v>
      </c>
      <c r="G103" s="167">
        <f t="shared" si="31"/>
        <v>164.630383</v>
      </c>
      <c r="H103" s="167">
        <f t="shared" si="31"/>
        <v>0</v>
      </c>
      <c r="I103" s="167">
        <f t="shared" si="31"/>
        <v>0</v>
      </c>
      <c r="J103" s="167">
        <f t="shared" si="31"/>
        <v>0</v>
      </c>
      <c r="K103" s="167">
        <f t="shared" si="31"/>
        <v>0</v>
      </c>
      <c r="L103" s="167">
        <f t="shared" si="31"/>
        <v>0</v>
      </c>
      <c r="M103" s="167">
        <f t="shared" si="31"/>
        <v>164.630383</v>
      </c>
      <c r="N103" s="167"/>
    </row>
    <row r="104" s="1" customFormat="1" ht="26.25" customHeight="1" spans="1:14">
      <c r="A104" s="168" t="s">
        <v>1569</v>
      </c>
      <c r="B104" s="169" t="s">
        <v>1570</v>
      </c>
      <c r="C104" s="170" t="s">
        <v>1571</v>
      </c>
      <c r="D104" s="169" t="s">
        <v>1439</v>
      </c>
      <c r="E104" s="169" t="s">
        <v>1572</v>
      </c>
      <c r="F104" s="180">
        <f t="shared" ref="F104:F112" si="32">SUM(G104:H104)</f>
        <v>0.3</v>
      </c>
      <c r="G104" s="180">
        <v>0.3</v>
      </c>
      <c r="H104" s="180"/>
      <c r="I104" s="180"/>
      <c r="J104" s="180"/>
      <c r="K104" s="180"/>
      <c r="L104" s="180"/>
      <c r="M104" s="180">
        <f t="shared" ref="M104:M112" si="33">F104+I104+J104+K104-L104</f>
        <v>0.3</v>
      </c>
      <c r="N104" s="180"/>
    </row>
    <row r="105" s="1" customFormat="1" ht="26.25" customHeight="1" spans="1:14">
      <c r="A105" s="168" t="s">
        <v>1569</v>
      </c>
      <c r="B105" s="169" t="s">
        <v>1570</v>
      </c>
      <c r="C105" s="170" t="s">
        <v>1571</v>
      </c>
      <c r="D105" s="169" t="s">
        <v>1439</v>
      </c>
      <c r="E105" s="169" t="s">
        <v>1573</v>
      </c>
      <c r="F105" s="180">
        <f t="shared" si="32"/>
        <v>11.60013</v>
      </c>
      <c r="G105" s="180">
        <v>11.60013</v>
      </c>
      <c r="H105" s="180"/>
      <c r="I105" s="180"/>
      <c r="J105" s="180"/>
      <c r="K105" s="180"/>
      <c r="L105" s="180"/>
      <c r="M105" s="180">
        <f t="shared" si="33"/>
        <v>11.60013</v>
      </c>
      <c r="N105" s="180"/>
    </row>
    <row r="106" s="1" customFormat="1" ht="26.25" customHeight="1" spans="1:14">
      <c r="A106" s="168" t="s">
        <v>1569</v>
      </c>
      <c r="B106" s="169" t="s">
        <v>1570</v>
      </c>
      <c r="C106" s="170" t="s">
        <v>1571</v>
      </c>
      <c r="D106" s="169" t="s">
        <v>1439</v>
      </c>
      <c r="E106" s="169" t="s">
        <v>1574</v>
      </c>
      <c r="F106" s="180">
        <f t="shared" si="32"/>
        <v>7</v>
      </c>
      <c r="G106" s="180">
        <v>7</v>
      </c>
      <c r="H106" s="180"/>
      <c r="I106" s="180"/>
      <c r="J106" s="180"/>
      <c r="K106" s="180"/>
      <c r="L106" s="180"/>
      <c r="M106" s="180">
        <f t="shared" si="33"/>
        <v>7</v>
      </c>
      <c r="N106" s="180"/>
    </row>
    <row r="107" s="1" customFormat="1" ht="26.25" customHeight="1" spans="1:14">
      <c r="A107" s="168" t="s">
        <v>1569</v>
      </c>
      <c r="B107" s="169" t="s">
        <v>1570</v>
      </c>
      <c r="C107" s="170" t="s">
        <v>1571</v>
      </c>
      <c r="D107" s="169" t="s">
        <v>1439</v>
      </c>
      <c r="E107" s="169" t="s">
        <v>1575</v>
      </c>
      <c r="F107" s="180">
        <f t="shared" si="32"/>
        <v>4.350049</v>
      </c>
      <c r="G107" s="180">
        <v>4.350049</v>
      </c>
      <c r="H107" s="180"/>
      <c r="I107" s="180"/>
      <c r="J107" s="180"/>
      <c r="K107" s="180"/>
      <c r="L107" s="180"/>
      <c r="M107" s="180">
        <f t="shared" si="33"/>
        <v>4.350049</v>
      </c>
      <c r="N107" s="180"/>
    </row>
    <row r="108" s="1" customFormat="1" ht="26.25" customHeight="1" spans="1:14">
      <c r="A108" s="168" t="s">
        <v>1569</v>
      </c>
      <c r="B108" s="169" t="s">
        <v>1570</v>
      </c>
      <c r="C108" s="170" t="s">
        <v>1571</v>
      </c>
      <c r="D108" s="169" t="s">
        <v>1439</v>
      </c>
      <c r="E108" s="169" t="s">
        <v>1576</v>
      </c>
      <c r="F108" s="180">
        <f t="shared" si="32"/>
        <v>4.008</v>
      </c>
      <c r="G108" s="180">
        <v>4.008</v>
      </c>
      <c r="H108" s="180"/>
      <c r="I108" s="180"/>
      <c r="J108" s="180"/>
      <c r="K108" s="180"/>
      <c r="L108" s="180"/>
      <c r="M108" s="180">
        <f t="shared" si="33"/>
        <v>4.008</v>
      </c>
      <c r="N108" s="180"/>
    </row>
    <row r="109" s="1" customFormat="1" ht="26.25" customHeight="1" spans="1:14">
      <c r="A109" s="168" t="s">
        <v>1569</v>
      </c>
      <c r="B109" s="169" t="s">
        <v>1570</v>
      </c>
      <c r="C109" s="170" t="s">
        <v>1571</v>
      </c>
      <c r="D109" s="169" t="s">
        <v>1439</v>
      </c>
      <c r="E109" s="169" t="s">
        <v>1577</v>
      </c>
      <c r="F109" s="180">
        <f t="shared" si="32"/>
        <v>32.730426</v>
      </c>
      <c r="G109" s="180">
        <v>32.730426</v>
      </c>
      <c r="H109" s="180"/>
      <c r="I109" s="180"/>
      <c r="J109" s="180"/>
      <c r="K109" s="180"/>
      <c r="L109" s="180"/>
      <c r="M109" s="180">
        <f t="shared" si="33"/>
        <v>32.730426</v>
      </c>
      <c r="N109" s="180"/>
    </row>
    <row r="110" s="1" customFormat="1" ht="26.25" customHeight="1" spans="1:14">
      <c r="A110" s="168" t="s">
        <v>1569</v>
      </c>
      <c r="B110" s="169" t="s">
        <v>1570</v>
      </c>
      <c r="C110" s="170" t="s">
        <v>1571</v>
      </c>
      <c r="D110" s="169" t="s">
        <v>1439</v>
      </c>
      <c r="E110" s="169" t="s">
        <v>1578</v>
      </c>
      <c r="F110" s="180">
        <f t="shared" si="32"/>
        <v>1.474022</v>
      </c>
      <c r="G110" s="180">
        <v>1.474022</v>
      </c>
      <c r="H110" s="180"/>
      <c r="I110" s="180"/>
      <c r="J110" s="180"/>
      <c r="K110" s="180"/>
      <c r="L110" s="180"/>
      <c r="M110" s="180">
        <f t="shared" si="33"/>
        <v>1.474022</v>
      </c>
      <c r="N110" s="180"/>
    </row>
    <row r="111" s="1" customFormat="1" ht="26.25" customHeight="1" spans="1:14">
      <c r="A111" s="168" t="s">
        <v>1569</v>
      </c>
      <c r="B111" s="169" t="s">
        <v>1570</v>
      </c>
      <c r="C111" s="170" t="s">
        <v>1571</v>
      </c>
      <c r="D111" s="169" t="s">
        <v>1439</v>
      </c>
      <c r="E111" s="169" t="s">
        <v>1579</v>
      </c>
      <c r="F111" s="180">
        <f t="shared" si="32"/>
        <v>10.508004</v>
      </c>
      <c r="G111" s="180">
        <v>10.508004</v>
      </c>
      <c r="H111" s="180"/>
      <c r="I111" s="180"/>
      <c r="J111" s="180"/>
      <c r="K111" s="180"/>
      <c r="L111" s="180"/>
      <c r="M111" s="180">
        <f t="shared" si="33"/>
        <v>10.508004</v>
      </c>
      <c r="N111" s="180"/>
    </row>
    <row r="112" s="1" customFormat="1" ht="26.25" customHeight="1" spans="1:14">
      <c r="A112" s="168" t="s">
        <v>1569</v>
      </c>
      <c r="B112" s="169" t="s">
        <v>1570</v>
      </c>
      <c r="C112" s="170" t="s">
        <v>1571</v>
      </c>
      <c r="D112" s="169" t="s">
        <v>1439</v>
      </c>
      <c r="E112" s="169" t="s">
        <v>1580</v>
      </c>
      <c r="F112" s="180">
        <f t="shared" si="32"/>
        <v>92.659752</v>
      </c>
      <c r="G112" s="180">
        <v>92.659752</v>
      </c>
      <c r="H112" s="180"/>
      <c r="I112" s="180"/>
      <c r="J112" s="180"/>
      <c r="K112" s="180"/>
      <c r="L112" s="180"/>
      <c r="M112" s="180">
        <f t="shared" si="33"/>
        <v>92.659752</v>
      </c>
      <c r="N112" s="180"/>
    </row>
    <row r="113" s="1" customFormat="1" ht="26.25" customHeight="1" spans="1:14">
      <c r="A113" s="189" t="s">
        <v>1581</v>
      </c>
      <c r="B113" s="190" t="s">
        <v>1582</v>
      </c>
      <c r="C113" s="191"/>
      <c r="D113" s="192"/>
      <c r="E113" s="192"/>
      <c r="F113" s="167">
        <f t="shared" ref="F113:M113" si="34">SUM(F114:F119)</f>
        <v>212.237737</v>
      </c>
      <c r="G113" s="167">
        <f t="shared" si="34"/>
        <v>212.237737</v>
      </c>
      <c r="H113" s="167">
        <f t="shared" si="34"/>
        <v>0</v>
      </c>
      <c r="I113" s="167">
        <f t="shared" si="34"/>
        <v>0</v>
      </c>
      <c r="J113" s="167">
        <f t="shared" si="34"/>
        <v>25</v>
      </c>
      <c r="K113" s="167">
        <f t="shared" si="34"/>
        <v>0</v>
      </c>
      <c r="L113" s="167">
        <f t="shared" si="34"/>
        <v>0</v>
      </c>
      <c r="M113" s="167">
        <f t="shared" si="34"/>
        <v>237.237737</v>
      </c>
      <c r="N113" s="167"/>
    </row>
    <row r="114" s="1" customFormat="1" ht="26.25" customHeight="1" spans="1:14">
      <c r="A114" s="168" t="s">
        <v>1583</v>
      </c>
      <c r="B114" s="169" t="s">
        <v>1584</v>
      </c>
      <c r="C114" s="170" t="s">
        <v>1585</v>
      </c>
      <c r="D114" s="169" t="s">
        <v>1439</v>
      </c>
      <c r="E114" s="169" t="s">
        <v>1586</v>
      </c>
      <c r="F114" s="180">
        <f t="shared" ref="F114:F119" si="35">SUM(G114:H114)</f>
        <v>5.088</v>
      </c>
      <c r="G114" s="180">
        <v>5.088</v>
      </c>
      <c r="H114" s="180"/>
      <c r="I114" s="180"/>
      <c r="J114" s="180"/>
      <c r="K114" s="180"/>
      <c r="L114" s="180"/>
      <c r="M114" s="180">
        <f t="shared" ref="M114:M119" si="36">F114+I114+J114+K114-L114</f>
        <v>5.088</v>
      </c>
      <c r="N114" s="180"/>
    </row>
    <row r="115" s="1" customFormat="1" ht="26.25" customHeight="1" spans="1:14">
      <c r="A115" s="168" t="s">
        <v>1583</v>
      </c>
      <c r="B115" s="169" t="s">
        <v>1584</v>
      </c>
      <c r="C115" s="170" t="s">
        <v>1585</v>
      </c>
      <c r="D115" s="169" t="s">
        <v>1439</v>
      </c>
      <c r="E115" s="169" t="s">
        <v>1587</v>
      </c>
      <c r="F115" s="180">
        <f t="shared" si="35"/>
        <v>16.129099</v>
      </c>
      <c r="G115" s="180">
        <v>16.129099</v>
      </c>
      <c r="H115" s="180"/>
      <c r="I115" s="180"/>
      <c r="J115" s="180"/>
      <c r="K115" s="180"/>
      <c r="L115" s="180"/>
      <c r="M115" s="180">
        <f t="shared" si="36"/>
        <v>16.129099</v>
      </c>
      <c r="N115" s="180"/>
    </row>
    <row r="116" s="1" customFormat="1" ht="26.25" customHeight="1" spans="1:14">
      <c r="A116" s="168" t="s">
        <v>1583</v>
      </c>
      <c r="B116" s="169" t="s">
        <v>1584</v>
      </c>
      <c r="C116" s="170" t="s">
        <v>1585</v>
      </c>
      <c r="D116" s="169" t="s">
        <v>1439</v>
      </c>
      <c r="E116" s="169" t="s">
        <v>1588</v>
      </c>
      <c r="F116" s="180">
        <f t="shared" si="35"/>
        <v>44.65107</v>
      </c>
      <c r="G116" s="180">
        <v>44.65107</v>
      </c>
      <c r="H116" s="180"/>
      <c r="I116" s="180"/>
      <c r="J116" s="180"/>
      <c r="K116" s="180"/>
      <c r="L116" s="180"/>
      <c r="M116" s="180">
        <f t="shared" si="36"/>
        <v>44.65107</v>
      </c>
      <c r="N116" s="180"/>
    </row>
    <row r="117" s="1" customFormat="1" ht="26.25" customHeight="1" spans="1:14">
      <c r="A117" s="168" t="s">
        <v>1583</v>
      </c>
      <c r="B117" s="169" t="s">
        <v>1584</v>
      </c>
      <c r="C117" s="170" t="s">
        <v>1585</v>
      </c>
      <c r="D117" s="169" t="s">
        <v>1439</v>
      </c>
      <c r="E117" s="169" t="s">
        <v>1589</v>
      </c>
      <c r="F117" s="180">
        <f t="shared" si="35"/>
        <v>129.321156</v>
      </c>
      <c r="G117" s="180">
        <v>129.321156</v>
      </c>
      <c r="H117" s="180"/>
      <c r="I117" s="180"/>
      <c r="J117" s="180">
        <v>25</v>
      </c>
      <c r="K117" s="180"/>
      <c r="L117" s="180"/>
      <c r="M117" s="180">
        <f t="shared" si="36"/>
        <v>154.321156</v>
      </c>
      <c r="N117" s="180"/>
    </row>
    <row r="118" s="1" customFormat="1" ht="26.25" customHeight="1" spans="1:14">
      <c r="A118" s="168" t="s">
        <v>1583</v>
      </c>
      <c r="B118" s="169" t="s">
        <v>1584</v>
      </c>
      <c r="C118" s="170" t="s">
        <v>1585</v>
      </c>
      <c r="D118" s="169" t="s">
        <v>1439</v>
      </c>
      <c r="E118" s="169" t="s">
        <v>1590</v>
      </c>
      <c r="F118" s="180">
        <f t="shared" si="35"/>
        <v>11</v>
      </c>
      <c r="G118" s="180">
        <v>11</v>
      </c>
      <c r="H118" s="180"/>
      <c r="I118" s="180"/>
      <c r="J118" s="180"/>
      <c r="K118" s="180"/>
      <c r="L118" s="180"/>
      <c r="M118" s="180">
        <f t="shared" si="36"/>
        <v>11</v>
      </c>
      <c r="N118" s="180"/>
    </row>
    <row r="119" s="1" customFormat="1" ht="26.25" customHeight="1" spans="1:14">
      <c r="A119" s="168" t="s">
        <v>1583</v>
      </c>
      <c r="B119" s="169" t="s">
        <v>1584</v>
      </c>
      <c r="C119" s="170" t="s">
        <v>1585</v>
      </c>
      <c r="D119" s="169" t="s">
        <v>1439</v>
      </c>
      <c r="E119" s="169" t="s">
        <v>1591</v>
      </c>
      <c r="F119" s="180">
        <f t="shared" si="35"/>
        <v>6.048412</v>
      </c>
      <c r="G119" s="180">
        <v>6.048412</v>
      </c>
      <c r="H119" s="180"/>
      <c r="I119" s="180"/>
      <c r="J119" s="180"/>
      <c r="K119" s="180"/>
      <c r="L119" s="180"/>
      <c r="M119" s="180">
        <f t="shared" si="36"/>
        <v>6.048412</v>
      </c>
      <c r="N119" s="180"/>
    </row>
    <row r="120" s="1" customFormat="1" ht="26.25" customHeight="1" spans="1:14">
      <c r="A120" s="189" t="s">
        <v>1592</v>
      </c>
      <c r="B120" s="190" t="s">
        <v>1593</v>
      </c>
      <c r="C120" s="191"/>
      <c r="D120" s="192"/>
      <c r="E120" s="192"/>
      <c r="F120" s="167">
        <f t="shared" ref="F120:M120" si="37">SUM(F121:F126)</f>
        <v>393.549942</v>
      </c>
      <c r="G120" s="167">
        <f t="shared" si="37"/>
        <v>393.549942</v>
      </c>
      <c r="H120" s="167">
        <f t="shared" si="37"/>
        <v>0</v>
      </c>
      <c r="I120" s="167">
        <f t="shared" si="37"/>
        <v>0</v>
      </c>
      <c r="J120" s="167">
        <f t="shared" si="37"/>
        <v>0</v>
      </c>
      <c r="K120" s="167">
        <f t="shared" si="37"/>
        <v>0</v>
      </c>
      <c r="L120" s="167">
        <f t="shared" si="37"/>
        <v>0</v>
      </c>
      <c r="M120" s="167">
        <f t="shared" si="37"/>
        <v>393.549942</v>
      </c>
      <c r="N120" s="167"/>
    </row>
    <row r="121" s="1" customFormat="1" ht="26.25" customHeight="1" spans="1:14">
      <c r="A121" s="168" t="s">
        <v>1594</v>
      </c>
      <c r="B121" s="169" t="s">
        <v>1595</v>
      </c>
      <c r="C121" s="170" t="s">
        <v>1596</v>
      </c>
      <c r="D121" s="169" t="s">
        <v>1439</v>
      </c>
      <c r="E121" s="169" t="s">
        <v>1597</v>
      </c>
      <c r="F121" s="180">
        <f t="shared" ref="F121:F126" si="38">SUM(G121:H121)</f>
        <v>7.888</v>
      </c>
      <c r="G121" s="180">
        <v>7.888</v>
      </c>
      <c r="H121" s="180"/>
      <c r="I121" s="180"/>
      <c r="J121" s="180"/>
      <c r="K121" s="180"/>
      <c r="L121" s="180"/>
      <c r="M121" s="180">
        <f t="shared" ref="M121:M126" si="39">F121+I121+J121+K121-L121</f>
        <v>7.888</v>
      </c>
      <c r="N121" s="180"/>
    </row>
    <row r="122" s="1" customFormat="1" ht="26.25" customHeight="1" spans="1:14">
      <c r="A122" s="168" t="s">
        <v>1594</v>
      </c>
      <c r="B122" s="169" t="s">
        <v>1595</v>
      </c>
      <c r="C122" s="170" t="s">
        <v>1596</v>
      </c>
      <c r="D122" s="169" t="s">
        <v>1439</v>
      </c>
      <c r="E122" s="169" t="s">
        <v>1598</v>
      </c>
      <c r="F122" s="180">
        <f t="shared" si="38"/>
        <v>315.673792</v>
      </c>
      <c r="G122" s="180">
        <v>315.673792</v>
      </c>
      <c r="H122" s="180"/>
      <c r="I122" s="180"/>
      <c r="J122" s="180"/>
      <c r="K122" s="180"/>
      <c r="L122" s="180"/>
      <c r="M122" s="180">
        <f t="shared" si="39"/>
        <v>315.673792</v>
      </c>
      <c r="N122" s="180"/>
    </row>
    <row r="123" s="1" customFormat="1" ht="26.25" customHeight="1" spans="1:14">
      <c r="A123" s="168" t="s">
        <v>1594</v>
      </c>
      <c r="B123" s="169" t="s">
        <v>1595</v>
      </c>
      <c r="C123" s="170" t="s">
        <v>1596</v>
      </c>
      <c r="D123" s="169" t="s">
        <v>1439</v>
      </c>
      <c r="E123" s="169" t="s">
        <v>1599</v>
      </c>
      <c r="F123" s="180">
        <f t="shared" si="38"/>
        <v>5.274446</v>
      </c>
      <c r="G123" s="180">
        <v>5.274446</v>
      </c>
      <c r="H123" s="180"/>
      <c r="I123" s="180"/>
      <c r="J123" s="180"/>
      <c r="K123" s="180"/>
      <c r="L123" s="180"/>
      <c r="M123" s="180">
        <f t="shared" si="39"/>
        <v>5.274446</v>
      </c>
      <c r="N123" s="180"/>
    </row>
    <row r="124" s="1" customFormat="1" ht="26.25" customHeight="1" spans="1:14">
      <c r="A124" s="168" t="s">
        <v>1594</v>
      </c>
      <c r="B124" s="169" t="s">
        <v>1595</v>
      </c>
      <c r="C124" s="170" t="s">
        <v>1596</v>
      </c>
      <c r="D124" s="169" t="s">
        <v>1439</v>
      </c>
      <c r="E124" s="169" t="s">
        <v>1600</v>
      </c>
      <c r="F124" s="180">
        <f t="shared" si="38"/>
        <v>14.065188</v>
      </c>
      <c r="G124" s="180">
        <v>14.065188</v>
      </c>
      <c r="H124" s="180"/>
      <c r="I124" s="180"/>
      <c r="J124" s="180"/>
      <c r="K124" s="180"/>
      <c r="L124" s="180"/>
      <c r="M124" s="180">
        <f t="shared" si="39"/>
        <v>14.065188</v>
      </c>
      <c r="N124" s="180"/>
    </row>
    <row r="125" s="1" customFormat="1" ht="26.25" customHeight="1" spans="1:14">
      <c r="A125" s="168" t="s">
        <v>1594</v>
      </c>
      <c r="B125" s="169" t="s">
        <v>1595</v>
      </c>
      <c r="C125" s="170" t="s">
        <v>1596</v>
      </c>
      <c r="D125" s="169" t="s">
        <v>1439</v>
      </c>
      <c r="E125" s="169" t="s">
        <v>1601</v>
      </c>
      <c r="F125" s="180">
        <f t="shared" si="38"/>
        <v>10</v>
      </c>
      <c r="G125" s="180">
        <v>10</v>
      </c>
      <c r="H125" s="180"/>
      <c r="I125" s="180"/>
      <c r="J125" s="180"/>
      <c r="K125" s="180"/>
      <c r="L125" s="180"/>
      <c r="M125" s="180">
        <f t="shared" si="39"/>
        <v>10</v>
      </c>
      <c r="N125" s="180"/>
    </row>
    <row r="126" s="1" customFormat="1" ht="26.25" customHeight="1" spans="1:14">
      <c r="A126" s="168" t="s">
        <v>1594</v>
      </c>
      <c r="B126" s="169" t="s">
        <v>1595</v>
      </c>
      <c r="C126" s="170" t="s">
        <v>1596</v>
      </c>
      <c r="D126" s="169" t="s">
        <v>1439</v>
      </c>
      <c r="E126" s="169" t="s">
        <v>1602</v>
      </c>
      <c r="F126" s="180">
        <f t="shared" si="38"/>
        <v>40.648516</v>
      </c>
      <c r="G126" s="180">
        <v>40.648516</v>
      </c>
      <c r="H126" s="180"/>
      <c r="I126" s="180"/>
      <c r="J126" s="180"/>
      <c r="K126" s="180"/>
      <c r="L126" s="180"/>
      <c r="M126" s="180">
        <f t="shared" si="39"/>
        <v>40.648516</v>
      </c>
      <c r="N126" s="180"/>
    </row>
    <row r="127" s="1" customFormat="1" ht="26.25" customHeight="1" spans="1:14">
      <c r="A127" s="189" t="s">
        <v>1603</v>
      </c>
      <c r="B127" s="190" t="s">
        <v>1604</v>
      </c>
      <c r="C127" s="191"/>
      <c r="D127" s="192"/>
      <c r="E127" s="192"/>
      <c r="F127" s="167">
        <f t="shared" ref="F127:M127" si="40">SUM(F128:F133)</f>
        <v>178.924396</v>
      </c>
      <c r="G127" s="167">
        <f t="shared" si="40"/>
        <v>178.924396</v>
      </c>
      <c r="H127" s="167">
        <f t="shared" si="40"/>
        <v>0</v>
      </c>
      <c r="I127" s="167">
        <f t="shared" si="40"/>
        <v>0</v>
      </c>
      <c r="J127" s="167">
        <f t="shared" si="40"/>
        <v>0</v>
      </c>
      <c r="K127" s="167">
        <f t="shared" si="40"/>
        <v>0</v>
      </c>
      <c r="L127" s="167">
        <f t="shared" si="40"/>
        <v>0</v>
      </c>
      <c r="M127" s="167">
        <f t="shared" si="40"/>
        <v>178.924396</v>
      </c>
      <c r="N127" s="167"/>
    </row>
    <row r="128" s="1" customFormat="1" ht="26.25" customHeight="1" spans="1:14">
      <c r="A128" s="168" t="s">
        <v>1605</v>
      </c>
      <c r="B128" s="169" t="s">
        <v>1606</v>
      </c>
      <c r="C128" s="170" t="s">
        <v>1607</v>
      </c>
      <c r="D128" s="169" t="s">
        <v>1439</v>
      </c>
      <c r="E128" s="169" t="s">
        <v>1608</v>
      </c>
      <c r="F128" s="180">
        <f t="shared" ref="F128:F133" si="41">SUM(G128:H128)</f>
        <v>13.612776</v>
      </c>
      <c r="G128" s="180">
        <v>13.612776</v>
      </c>
      <c r="H128" s="180"/>
      <c r="I128" s="180"/>
      <c r="J128" s="180"/>
      <c r="K128" s="180"/>
      <c r="L128" s="180"/>
      <c r="M128" s="180">
        <f t="shared" ref="M128:M133" si="42">F128+I128+J128+K128-L128</f>
        <v>13.612776</v>
      </c>
      <c r="N128" s="180"/>
    </row>
    <row r="129" s="1" customFormat="1" ht="26.25" customHeight="1" spans="1:14">
      <c r="A129" s="168" t="s">
        <v>1605</v>
      </c>
      <c r="B129" s="169" t="s">
        <v>1606</v>
      </c>
      <c r="C129" s="170" t="s">
        <v>1607</v>
      </c>
      <c r="D129" s="169" t="s">
        <v>1439</v>
      </c>
      <c r="E129" s="169" t="s">
        <v>1609</v>
      </c>
      <c r="F129" s="180">
        <f t="shared" si="41"/>
        <v>108.8198</v>
      </c>
      <c r="G129" s="180">
        <v>108.8198</v>
      </c>
      <c r="H129" s="180"/>
      <c r="I129" s="180"/>
      <c r="J129" s="180"/>
      <c r="K129" s="180"/>
      <c r="L129" s="180"/>
      <c r="M129" s="180">
        <f t="shared" si="42"/>
        <v>108.8198</v>
      </c>
      <c r="N129" s="180"/>
    </row>
    <row r="130" s="1" customFormat="1" ht="26.25" customHeight="1" spans="1:14">
      <c r="A130" s="168" t="s">
        <v>1605</v>
      </c>
      <c r="B130" s="169" t="s">
        <v>1606</v>
      </c>
      <c r="C130" s="170" t="s">
        <v>1607</v>
      </c>
      <c r="D130" s="169" t="s">
        <v>1439</v>
      </c>
      <c r="E130" s="169" t="s">
        <v>1610</v>
      </c>
      <c r="F130" s="180">
        <f t="shared" si="41"/>
        <v>5.104791</v>
      </c>
      <c r="G130" s="180">
        <v>5.104791</v>
      </c>
      <c r="H130" s="180"/>
      <c r="I130" s="180"/>
      <c r="J130" s="180"/>
      <c r="K130" s="180"/>
      <c r="L130" s="180"/>
      <c r="M130" s="180">
        <f t="shared" si="42"/>
        <v>5.104791</v>
      </c>
      <c r="N130" s="180"/>
    </row>
    <row r="131" s="1" customFormat="1" ht="26.25" customHeight="1" spans="1:14">
      <c r="A131" s="168" t="s">
        <v>1605</v>
      </c>
      <c r="B131" s="169" t="s">
        <v>1606</v>
      </c>
      <c r="C131" s="170" t="s">
        <v>1607</v>
      </c>
      <c r="D131" s="169" t="s">
        <v>1439</v>
      </c>
      <c r="E131" s="169" t="s">
        <v>1611</v>
      </c>
      <c r="F131" s="180">
        <f t="shared" si="41"/>
        <v>37.767029</v>
      </c>
      <c r="G131" s="180">
        <v>37.767029</v>
      </c>
      <c r="H131" s="180"/>
      <c r="I131" s="180"/>
      <c r="J131" s="180"/>
      <c r="K131" s="180"/>
      <c r="L131" s="180"/>
      <c r="M131" s="180">
        <f t="shared" si="42"/>
        <v>37.767029</v>
      </c>
      <c r="N131" s="180"/>
    </row>
    <row r="132" s="1" customFormat="1" ht="26.25" customHeight="1" spans="1:14">
      <c r="A132" s="168" t="s">
        <v>1605</v>
      </c>
      <c r="B132" s="169" t="s">
        <v>1606</v>
      </c>
      <c r="C132" s="170" t="s">
        <v>1607</v>
      </c>
      <c r="D132" s="169" t="s">
        <v>1439</v>
      </c>
      <c r="E132" s="169" t="s">
        <v>1612</v>
      </c>
      <c r="F132" s="180">
        <f t="shared" si="41"/>
        <v>9</v>
      </c>
      <c r="G132" s="180">
        <v>9</v>
      </c>
      <c r="H132" s="180"/>
      <c r="I132" s="180"/>
      <c r="J132" s="180"/>
      <c r="K132" s="180"/>
      <c r="L132" s="180"/>
      <c r="M132" s="180">
        <f t="shared" si="42"/>
        <v>9</v>
      </c>
      <c r="N132" s="180"/>
    </row>
    <row r="133" s="1" customFormat="1" ht="26.25" customHeight="1" spans="1:14">
      <c r="A133" s="168" t="s">
        <v>1605</v>
      </c>
      <c r="B133" s="169" t="s">
        <v>1606</v>
      </c>
      <c r="C133" s="170" t="s">
        <v>1607</v>
      </c>
      <c r="D133" s="169" t="s">
        <v>1439</v>
      </c>
      <c r="E133" s="169" t="s">
        <v>1613</v>
      </c>
      <c r="F133" s="180">
        <f t="shared" si="41"/>
        <v>4.62</v>
      </c>
      <c r="G133" s="180">
        <v>4.62</v>
      </c>
      <c r="H133" s="180"/>
      <c r="I133" s="180"/>
      <c r="J133" s="180"/>
      <c r="K133" s="180"/>
      <c r="L133" s="180"/>
      <c r="M133" s="180">
        <f t="shared" si="42"/>
        <v>4.62</v>
      </c>
      <c r="N133" s="180"/>
    </row>
    <row r="134" s="1" customFormat="1" ht="26.25" customHeight="1" spans="1:14">
      <c r="A134" s="189" t="s">
        <v>1614</v>
      </c>
      <c r="B134" s="190" t="s">
        <v>1615</v>
      </c>
      <c r="C134" s="191"/>
      <c r="D134" s="192"/>
      <c r="E134" s="192"/>
      <c r="F134" s="167">
        <f t="shared" ref="F134:M134" si="43">SUM(F135:F143)</f>
        <v>66.250996</v>
      </c>
      <c r="G134" s="167">
        <f t="shared" si="43"/>
        <v>66.250996</v>
      </c>
      <c r="H134" s="167">
        <f t="shared" si="43"/>
        <v>0</v>
      </c>
      <c r="I134" s="167">
        <f t="shared" si="43"/>
        <v>0</v>
      </c>
      <c r="J134" s="167">
        <f t="shared" si="43"/>
        <v>13.48</v>
      </c>
      <c r="K134" s="167">
        <f t="shared" si="43"/>
        <v>0</v>
      </c>
      <c r="L134" s="167">
        <f t="shared" si="43"/>
        <v>0</v>
      </c>
      <c r="M134" s="167">
        <f t="shared" si="43"/>
        <v>79.730996</v>
      </c>
      <c r="N134" s="167"/>
    </row>
    <row r="135" s="1" customFormat="1" ht="26.25" customHeight="1" spans="1:14">
      <c r="A135" s="168" t="s">
        <v>1616</v>
      </c>
      <c r="B135" s="169" t="s">
        <v>1617</v>
      </c>
      <c r="C135" s="170" t="s">
        <v>1438</v>
      </c>
      <c r="D135" s="169" t="s">
        <v>1439</v>
      </c>
      <c r="E135" s="169" t="s">
        <v>1618</v>
      </c>
      <c r="F135" s="180">
        <f t="shared" ref="F135:F143" si="44">SUM(G135:H135)</f>
        <v>0.1</v>
      </c>
      <c r="G135" s="180">
        <v>0.1</v>
      </c>
      <c r="H135" s="180"/>
      <c r="I135" s="180"/>
      <c r="J135" s="180"/>
      <c r="K135" s="180"/>
      <c r="L135" s="180"/>
      <c r="M135" s="180">
        <f t="shared" ref="M135:M143" si="45">F135+I135+J135+K135-L135</f>
        <v>0.1</v>
      </c>
      <c r="N135" s="180"/>
    </row>
    <row r="136" s="1" customFormat="1" ht="26.25" customHeight="1" spans="1:14">
      <c r="A136" s="168" t="s">
        <v>1616</v>
      </c>
      <c r="B136" s="169" t="s">
        <v>1617</v>
      </c>
      <c r="C136" s="170" t="s">
        <v>1438</v>
      </c>
      <c r="D136" s="169" t="s">
        <v>1439</v>
      </c>
      <c r="E136" s="169" t="s">
        <v>1619</v>
      </c>
      <c r="F136" s="180">
        <f t="shared" si="44"/>
        <v>13.3872</v>
      </c>
      <c r="G136" s="180">
        <v>13.3872</v>
      </c>
      <c r="H136" s="180"/>
      <c r="I136" s="180"/>
      <c r="J136" s="180"/>
      <c r="K136" s="180"/>
      <c r="L136" s="180"/>
      <c r="M136" s="180">
        <f t="shared" si="45"/>
        <v>13.3872</v>
      </c>
      <c r="N136" s="180"/>
    </row>
    <row r="137" s="1" customFormat="1" ht="26.25" customHeight="1" spans="1:14">
      <c r="A137" s="168" t="s">
        <v>1616</v>
      </c>
      <c r="B137" s="169" t="s">
        <v>1617</v>
      </c>
      <c r="C137" s="170" t="s">
        <v>1438</v>
      </c>
      <c r="D137" s="169" t="s">
        <v>1439</v>
      </c>
      <c r="E137" s="169" t="s">
        <v>1620</v>
      </c>
      <c r="F137" s="180">
        <f t="shared" si="44"/>
        <v>0.70542</v>
      </c>
      <c r="G137" s="180">
        <v>0.70542</v>
      </c>
      <c r="H137" s="180"/>
      <c r="I137" s="180"/>
      <c r="J137" s="180"/>
      <c r="K137" s="180"/>
      <c r="L137" s="180"/>
      <c r="M137" s="180">
        <f t="shared" si="45"/>
        <v>0.70542</v>
      </c>
      <c r="N137" s="180"/>
    </row>
    <row r="138" s="1" customFormat="1" ht="26.25" customHeight="1" spans="1:14">
      <c r="A138" s="168" t="s">
        <v>1616</v>
      </c>
      <c r="B138" s="169" t="s">
        <v>1617</v>
      </c>
      <c r="C138" s="170" t="s">
        <v>1438</v>
      </c>
      <c r="D138" s="169" t="s">
        <v>1439</v>
      </c>
      <c r="E138" s="169" t="s">
        <v>1621</v>
      </c>
      <c r="F138" s="180">
        <f t="shared" si="44"/>
        <v>4.495764</v>
      </c>
      <c r="G138" s="180">
        <v>4.495764</v>
      </c>
      <c r="H138" s="180"/>
      <c r="I138" s="180"/>
      <c r="J138" s="180"/>
      <c r="K138" s="180"/>
      <c r="L138" s="180"/>
      <c r="M138" s="180">
        <f t="shared" si="45"/>
        <v>4.495764</v>
      </c>
      <c r="N138" s="180"/>
    </row>
    <row r="139" s="1" customFormat="1" ht="26.25" customHeight="1" spans="1:14">
      <c r="A139" s="168" t="s">
        <v>1616</v>
      </c>
      <c r="B139" s="169" t="s">
        <v>1617</v>
      </c>
      <c r="C139" s="170" t="s">
        <v>1438</v>
      </c>
      <c r="D139" s="169" t="s">
        <v>1439</v>
      </c>
      <c r="E139" s="169" t="s">
        <v>1622</v>
      </c>
      <c r="F139" s="180">
        <f t="shared" si="44"/>
        <v>1.685912</v>
      </c>
      <c r="G139" s="180">
        <v>1.685912</v>
      </c>
      <c r="H139" s="180"/>
      <c r="I139" s="180"/>
      <c r="J139" s="180"/>
      <c r="K139" s="180"/>
      <c r="L139" s="180"/>
      <c r="M139" s="180">
        <f t="shared" si="45"/>
        <v>1.685912</v>
      </c>
      <c r="N139" s="180"/>
    </row>
    <row r="140" s="1" customFormat="1" ht="26.25" customHeight="1" spans="1:14">
      <c r="A140" s="168" t="s">
        <v>1616</v>
      </c>
      <c r="B140" s="169" t="s">
        <v>1617</v>
      </c>
      <c r="C140" s="170" t="s">
        <v>1438</v>
      </c>
      <c r="D140" s="169" t="s">
        <v>1439</v>
      </c>
      <c r="E140" s="169" t="s">
        <v>1623</v>
      </c>
      <c r="F140" s="180">
        <f t="shared" si="44"/>
        <v>36.6847</v>
      </c>
      <c r="G140" s="180">
        <v>36.6847</v>
      </c>
      <c r="H140" s="180"/>
      <c r="I140" s="180"/>
      <c r="J140" s="180">
        <v>13.48</v>
      </c>
      <c r="K140" s="180"/>
      <c r="L140" s="180"/>
      <c r="M140" s="180">
        <f t="shared" si="45"/>
        <v>50.1647</v>
      </c>
      <c r="N140" s="180"/>
    </row>
    <row r="141" s="1" customFormat="1" ht="26.25" customHeight="1" spans="1:14">
      <c r="A141" s="168" t="s">
        <v>1616</v>
      </c>
      <c r="B141" s="169" t="s">
        <v>1617</v>
      </c>
      <c r="C141" s="170" t="s">
        <v>1438</v>
      </c>
      <c r="D141" s="169" t="s">
        <v>1439</v>
      </c>
      <c r="E141" s="169" t="s">
        <v>1624</v>
      </c>
      <c r="F141" s="180">
        <f t="shared" si="44"/>
        <v>0.78</v>
      </c>
      <c r="G141" s="180">
        <v>0.78</v>
      </c>
      <c r="H141" s="180"/>
      <c r="I141" s="180"/>
      <c r="J141" s="180"/>
      <c r="K141" s="180"/>
      <c r="L141" s="180"/>
      <c r="M141" s="180">
        <f t="shared" si="45"/>
        <v>0.78</v>
      </c>
      <c r="N141" s="180"/>
    </row>
    <row r="142" s="1" customFormat="1" ht="26.25" customHeight="1" spans="1:14">
      <c r="A142" s="168" t="s">
        <v>1616</v>
      </c>
      <c r="B142" s="169" t="s">
        <v>1617</v>
      </c>
      <c r="C142" s="170" t="s">
        <v>1438</v>
      </c>
      <c r="D142" s="169" t="s">
        <v>1439</v>
      </c>
      <c r="E142" s="169" t="s">
        <v>1625</v>
      </c>
      <c r="F142" s="180">
        <f t="shared" si="44"/>
        <v>5.412</v>
      </c>
      <c r="G142" s="180">
        <v>5.412</v>
      </c>
      <c r="H142" s="180"/>
      <c r="I142" s="180"/>
      <c r="J142" s="180"/>
      <c r="K142" s="180"/>
      <c r="L142" s="180"/>
      <c r="M142" s="180">
        <f t="shared" si="45"/>
        <v>5.412</v>
      </c>
      <c r="N142" s="180"/>
    </row>
    <row r="143" s="1" customFormat="1" ht="26.25" customHeight="1" spans="1:14">
      <c r="A143" s="168" t="s">
        <v>1616</v>
      </c>
      <c r="B143" s="169" t="s">
        <v>1617</v>
      </c>
      <c r="C143" s="170" t="s">
        <v>1438</v>
      </c>
      <c r="D143" s="169" t="s">
        <v>1439</v>
      </c>
      <c r="E143" s="169" t="s">
        <v>1626</v>
      </c>
      <c r="F143" s="180">
        <f t="shared" si="44"/>
        <v>3</v>
      </c>
      <c r="G143" s="180">
        <v>3</v>
      </c>
      <c r="H143" s="180"/>
      <c r="I143" s="180"/>
      <c r="J143" s="180"/>
      <c r="K143" s="180"/>
      <c r="L143" s="180"/>
      <c r="M143" s="180">
        <f t="shared" si="45"/>
        <v>3</v>
      </c>
      <c r="N143" s="180"/>
    </row>
    <row r="144" s="1" customFormat="1" ht="26.25" customHeight="1" spans="1:14">
      <c r="A144" s="189" t="s">
        <v>1627</v>
      </c>
      <c r="B144" s="190" t="s">
        <v>1628</v>
      </c>
      <c r="C144" s="191"/>
      <c r="D144" s="192"/>
      <c r="E144" s="192"/>
      <c r="F144" s="167">
        <f t="shared" ref="F144:M144" si="46">SUM(F145:F150)</f>
        <v>240.918514</v>
      </c>
      <c r="G144" s="167">
        <f t="shared" si="46"/>
        <v>240.918514</v>
      </c>
      <c r="H144" s="167">
        <f t="shared" si="46"/>
        <v>0</v>
      </c>
      <c r="I144" s="167">
        <f t="shared" si="46"/>
        <v>0</v>
      </c>
      <c r="J144" s="167">
        <f t="shared" si="46"/>
        <v>0</v>
      </c>
      <c r="K144" s="167">
        <f t="shared" si="46"/>
        <v>0</v>
      </c>
      <c r="L144" s="167">
        <f t="shared" si="46"/>
        <v>0</v>
      </c>
      <c r="M144" s="167">
        <f t="shared" si="46"/>
        <v>240.918514</v>
      </c>
      <c r="N144" s="167"/>
    </row>
    <row r="145" s="1" customFormat="1" ht="26.25" customHeight="1" spans="1:14">
      <c r="A145" s="168" t="s">
        <v>1629</v>
      </c>
      <c r="B145" s="169" t="s">
        <v>1630</v>
      </c>
      <c r="C145" s="170" t="s">
        <v>1631</v>
      </c>
      <c r="D145" s="169" t="s">
        <v>1439</v>
      </c>
      <c r="E145" s="169" t="s">
        <v>1632</v>
      </c>
      <c r="F145" s="180">
        <f t="shared" ref="F145:F150" si="47">SUM(G145:H145)</f>
        <v>152.349804</v>
      </c>
      <c r="G145" s="180">
        <v>152.349804</v>
      </c>
      <c r="H145" s="180"/>
      <c r="I145" s="180"/>
      <c r="J145" s="180"/>
      <c r="K145" s="180"/>
      <c r="L145" s="180"/>
      <c r="M145" s="180">
        <f t="shared" ref="M145:M150" si="48">F145+I145+J145+K145-L145</f>
        <v>152.349804</v>
      </c>
      <c r="N145" s="180"/>
    </row>
    <row r="146" s="1" customFormat="1" ht="26.25" customHeight="1" spans="1:14">
      <c r="A146" s="168" t="s">
        <v>1629</v>
      </c>
      <c r="B146" s="169" t="s">
        <v>1630</v>
      </c>
      <c r="C146" s="170" t="s">
        <v>1631</v>
      </c>
      <c r="D146" s="169" t="s">
        <v>1439</v>
      </c>
      <c r="E146" s="169" t="s">
        <v>1633</v>
      </c>
      <c r="F146" s="180">
        <f t="shared" si="47"/>
        <v>9.64</v>
      </c>
      <c r="G146" s="180">
        <v>9.64</v>
      </c>
      <c r="H146" s="180"/>
      <c r="I146" s="180"/>
      <c r="J146" s="180"/>
      <c r="K146" s="180"/>
      <c r="L146" s="180"/>
      <c r="M146" s="180">
        <f t="shared" si="48"/>
        <v>9.64</v>
      </c>
      <c r="N146" s="180"/>
    </row>
    <row r="147" s="1" customFormat="1" ht="26.25" customHeight="1" spans="1:14">
      <c r="A147" s="168" t="s">
        <v>1629</v>
      </c>
      <c r="B147" s="169" t="s">
        <v>1630</v>
      </c>
      <c r="C147" s="170" t="s">
        <v>1631</v>
      </c>
      <c r="D147" s="169" t="s">
        <v>1439</v>
      </c>
      <c r="E147" s="169" t="s">
        <v>1634</v>
      </c>
      <c r="F147" s="180">
        <f t="shared" si="47"/>
        <v>10</v>
      </c>
      <c r="G147" s="180">
        <v>10</v>
      </c>
      <c r="H147" s="180"/>
      <c r="I147" s="180"/>
      <c r="J147" s="180"/>
      <c r="K147" s="180"/>
      <c r="L147" s="180"/>
      <c r="M147" s="180">
        <f t="shared" si="48"/>
        <v>10</v>
      </c>
      <c r="N147" s="180"/>
    </row>
    <row r="148" s="1" customFormat="1" ht="26.25" customHeight="1" spans="1:14">
      <c r="A148" s="168" t="s">
        <v>1629</v>
      </c>
      <c r="B148" s="169" t="s">
        <v>1630</v>
      </c>
      <c r="C148" s="170" t="s">
        <v>1631</v>
      </c>
      <c r="D148" s="169" t="s">
        <v>1439</v>
      </c>
      <c r="E148" s="169" t="s">
        <v>1635</v>
      </c>
      <c r="F148" s="180">
        <f t="shared" si="47"/>
        <v>46.012982</v>
      </c>
      <c r="G148" s="180">
        <v>46.012982</v>
      </c>
      <c r="H148" s="180"/>
      <c r="I148" s="180"/>
      <c r="J148" s="180"/>
      <c r="K148" s="180"/>
      <c r="L148" s="180"/>
      <c r="M148" s="180">
        <f t="shared" si="48"/>
        <v>46.012982</v>
      </c>
      <c r="N148" s="180"/>
    </row>
    <row r="149" s="1" customFormat="1" ht="26.25" customHeight="1" spans="1:14">
      <c r="A149" s="168" t="s">
        <v>1629</v>
      </c>
      <c r="B149" s="169" t="s">
        <v>1630</v>
      </c>
      <c r="C149" s="170" t="s">
        <v>1631</v>
      </c>
      <c r="D149" s="169" t="s">
        <v>1439</v>
      </c>
      <c r="E149" s="169" t="s">
        <v>1636</v>
      </c>
      <c r="F149" s="180">
        <f t="shared" si="47"/>
        <v>16.665984</v>
      </c>
      <c r="G149" s="180">
        <v>16.665984</v>
      </c>
      <c r="H149" s="180"/>
      <c r="I149" s="180"/>
      <c r="J149" s="180"/>
      <c r="K149" s="180"/>
      <c r="L149" s="180"/>
      <c r="M149" s="180">
        <f t="shared" si="48"/>
        <v>16.665984</v>
      </c>
      <c r="N149" s="180"/>
    </row>
    <row r="150" s="1" customFormat="1" ht="26.25" customHeight="1" spans="1:14">
      <c r="A150" s="168" t="s">
        <v>1629</v>
      </c>
      <c r="B150" s="169" t="s">
        <v>1630</v>
      </c>
      <c r="C150" s="170" t="s">
        <v>1631</v>
      </c>
      <c r="D150" s="169" t="s">
        <v>1439</v>
      </c>
      <c r="E150" s="169" t="s">
        <v>1637</v>
      </c>
      <c r="F150" s="180">
        <f t="shared" si="47"/>
        <v>6.249744</v>
      </c>
      <c r="G150" s="180">
        <v>6.249744</v>
      </c>
      <c r="H150" s="180"/>
      <c r="I150" s="180"/>
      <c r="J150" s="180"/>
      <c r="K150" s="180"/>
      <c r="L150" s="180"/>
      <c r="M150" s="180">
        <f t="shared" si="48"/>
        <v>6.249744</v>
      </c>
      <c r="N150" s="180"/>
    </row>
    <row r="151" s="1" customFormat="1" ht="26.25" customHeight="1" spans="1:14">
      <c r="A151" s="189" t="s">
        <v>1638</v>
      </c>
      <c r="B151" s="190" t="s">
        <v>1639</v>
      </c>
      <c r="C151" s="191"/>
      <c r="D151" s="192"/>
      <c r="E151" s="192"/>
      <c r="F151" s="167">
        <f t="shared" ref="F151:M151" si="49">SUM(F152:F160)</f>
        <v>329.231527</v>
      </c>
      <c r="G151" s="167">
        <f t="shared" si="49"/>
        <v>329.231527</v>
      </c>
      <c r="H151" s="167">
        <f t="shared" si="49"/>
        <v>0</v>
      </c>
      <c r="I151" s="167">
        <f t="shared" si="49"/>
        <v>0</v>
      </c>
      <c r="J151" s="167">
        <f t="shared" si="49"/>
        <v>0</v>
      </c>
      <c r="K151" s="167">
        <f t="shared" si="49"/>
        <v>0</v>
      </c>
      <c r="L151" s="167">
        <f t="shared" si="49"/>
        <v>0</v>
      </c>
      <c r="M151" s="167">
        <f t="shared" si="49"/>
        <v>329.231527</v>
      </c>
      <c r="N151" s="167"/>
    </row>
    <row r="152" s="1" customFormat="1" ht="26.25" customHeight="1" spans="1:14">
      <c r="A152" s="168" t="s">
        <v>1640</v>
      </c>
      <c r="B152" s="169" t="s">
        <v>1641</v>
      </c>
      <c r="C152" s="170" t="s">
        <v>1642</v>
      </c>
      <c r="D152" s="169" t="s">
        <v>1439</v>
      </c>
      <c r="E152" s="169" t="s">
        <v>1643</v>
      </c>
      <c r="F152" s="180">
        <f t="shared" ref="F152:F160" si="50">SUM(G152:H152)</f>
        <v>7.913885</v>
      </c>
      <c r="G152" s="180">
        <v>7.913885</v>
      </c>
      <c r="H152" s="180"/>
      <c r="I152" s="180"/>
      <c r="J152" s="180"/>
      <c r="K152" s="180"/>
      <c r="L152" s="180"/>
      <c r="M152" s="180">
        <f t="shared" ref="M152:M160" si="51">F152+I152+J152+K152-L152</f>
        <v>7.913885</v>
      </c>
      <c r="N152" s="180"/>
    </row>
    <row r="153" s="1" customFormat="1" ht="26.25" customHeight="1" spans="1:14">
      <c r="A153" s="168" t="s">
        <v>1640</v>
      </c>
      <c r="B153" s="169" t="s">
        <v>1641</v>
      </c>
      <c r="C153" s="170" t="s">
        <v>1642</v>
      </c>
      <c r="D153" s="169" t="s">
        <v>1439</v>
      </c>
      <c r="E153" s="169" t="s">
        <v>1644</v>
      </c>
      <c r="F153" s="180">
        <f t="shared" si="50"/>
        <v>55.506225</v>
      </c>
      <c r="G153" s="180">
        <v>55.506225</v>
      </c>
      <c r="H153" s="180"/>
      <c r="I153" s="180"/>
      <c r="J153" s="180"/>
      <c r="K153" s="180"/>
      <c r="L153" s="180"/>
      <c r="M153" s="180">
        <f t="shared" si="51"/>
        <v>55.506225</v>
      </c>
      <c r="N153" s="180"/>
    </row>
    <row r="154" s="1" customFormat="1" ht="26.25" customHeight="1" spans="1:14">
      <c r="A154" s="168" t="s">
        <v>1640</v>
      </c>
      <c r="B154" s="169" t="s">
        <v>1641</v>
      </c>
      <c r="C154" s="170" t="s">
        <v>1642</v>
      </c>
      <c r="D154" s="169" t="s">
        <v>1439</v>
      </c>
      <c r="E154" s="169" t="s">
        <v>1645</v>
      </c>
      <c r="F154" s="180">
        <f t="shared" si="50"/>
        <v>8.08</v>
      </c>
      <c r="G154" s="180">
        <v>8.08</v>
      </c>
      <c r="H154" s="180"/>
      <c r="I154" s="180"/>
      <c r="J154" s="180"/>
      <c r="K154" s="180"/>
      <c r="L154" s="180"/>
      <c r="M154" s="180">
        <f t="shared" si="51"/>
        <v>8.08</v>
      </c>
      <c r="N154" s="180"/>
    </row>
    <row r="155" s="1" customFormat="1" ht="26.25" customHeight="1" spans="1:14">
      <c r="A155" s="168" t="s">
        <v>1640</v>
      </c>
      <c r="B155" s="169" t="s">
        <v>1641</v>
      </c>
      <c r="C155" s="170" t="s">
        <v>1642</v>
      </c>
      <c r="D155" s="169" t="s">
        <v>1439</v>
      </c>
      <c r="E155" s="169" t="s">
        <v>1646</v>
      </c>
      <c r="F155" s="180">
        <f t="shared" si="50"/>
        <v>57.1656</v>
      </c>
      <c r="G155" s="180">
        <v>57.1656</v>
      </c>
      <c r="H155" s="180"/>
      <c r="I155" s="180"/>
      <c r="J155" s="180"/>
      <c r="K155" s="180"/>
      <c r="L155" s="180"/>
      <c r="M155" s="180">
        <f t="shared" si="51"/>
        <v>57.1656</v>
      </c>
      <c r="N155" s="180"/>
    </row>
    <row r="156" s="1" customFormat="1" ht="26.25" customHeight="1" spans="1:14">
      <c r="A156" s="168" t="s">
        <v>1640</v>
      </c>
      <c r="B156" s="169" t="s">
        <v>1641</v>
      </c>
      <c r="C156" s="170" t="s">
        <v>1642</v>
      </c>
      <c r="D156" s="169" t="s">
        <v>1439</v>
      </c>
      <c r="E156" s="169" t="s">
        <v>1647</v>
      </c>
      <c r="F156" s="180">
        <f t="shared" si="50"/>
        <v>19.518882</v>
      </c>
      <c r="G156" s="180">
        <v>19.518882</v>
      </c>
      <c r="H156" s="180"/>
      <c r="I156" s="180"/>
      <c r="J156" s="180"/>
      <c r="K156" s="180"/>
      <c r="L156" s="180"/>
      <c r="M156" s="180">
        <f t="shared" si="51"/>
        <v>19.518882</v>
      </c>
      <c r="N156" s="180"/>
    </row>
    <row r="157" s="1" customFormat="1" ht="26.25" customHeight="1" spans="1:14">
      <c r="A157" s="168" t="s">
        <v>1640</v>
      </c>
      <c r="B157" s="169" t="s">
        <v>1641</v>
      </c>
      <c r="C157" s="170" t="s">
        <v>1642</v>
      </c>
      <c r="D157" s="169" t="s">
        <v>1439</v>
      </c>
      <c r="E157" s="169" t="s">
        <v>1648</v>
      </c>
      <c r="F157" s="180">
        <f t="shared" si="50"/>
        <v>158.577354</v>
      </c>
      <c r="G157" s="180">
        <v>158.577354</v>
      </c>
      <c r="H157" s="180"/>
      <c r="I157" s="180"/>
      <c r="J157" s="180"/>
      <c r="K157" s="180"/>
      <c r="L157" s="180"/>
      <c r="M157" s="180">
        <f t="shared" si="51"/>
        <v>158.577354</v>
      </c>
      <c r="N157" s="180"/>
    </row>
    <row r="158" s="1" customFormat="1" ht="26.25" customHeight="1" spans="1:14">
      <c r="A158" s="168" t="s">
        <v>1640</v>
      </c>
      <c r="B158" s="169" t="s">
        <v>1641</v>
      </c>
      <c r="C158" s="170" t="s">
        <v>1642</v>
      </c>
      <c r="D158" s="169" t="s">
        <v>1439</v>
      </c>
      <c r="E158" s="169" t="s">
        <v>1649</v>
      </c>
      <c r="F158" s="180">
        <f t="shared" si="50"/>
        <v>13</v>
      </c>
      <c r="G158" s="180">
        <v>13</v>
      </c>
      <c r="H158" s="180"/>
      <c r="I158" s="180"/>
      <c r="J158" s="180"/>
      <c r="K158" s="180"/>
      <c r="L158" s="180"/>
      <c r="M158" s="180">
        <f t="shared" si="51"/>
        <v>13</v>
      </c>
      <c r="N158" s="180"/>
    </row>
    <row r="159" s="1" customFormat="1" ht="26.25" customHeight="1" spans="1:14">
      <c r="A159" s="168" t="s">
        <v>1640</v>
      </c>
      <c r="B159" s="169" t="s">
        <v>1641</v>
      </c>
      <c r="C159" s="170" t="s">
        <v>1642</v>
      </c>
      <c r="D159" s="169" t="s">
        <v>1439</v>
      </c>
      <c r="E159" s="169" t="s">
        <v>1650</v>
      </c>
      <c r="F159" s="180">
        <f t="shared" si="50"/>
        <v>7.319581</v>
      </c>
      <c r="G159" s="180">
        <v>7.319581</v>
      </c>
      <c r="H159" s="180"/>
      <c r="I159" s="180"/>
      <c r="J159" s="180"/>
      <c r="K159" s="180"/>
      <c r="L159" s="180"/>
      <c r="M159" s="180">
        <f t="shared" si="51"/>
        <v>7.319581</v>
      </c>
      <c r="N159" s="180"/>
    </row>
    <row r="160" s="1" customFormat="1" ht="26.25" customHeight="1" spans="1:14">
      <c r="A160" s="168" t="s">
        <v>1640</v>
      </c>
      <c r="B160" s="169" t="s">
        <v>1641</v>
      </c>
      <c r="C160" s="170" t="s">
        <v>1642</v>
      </c>
      <c r="D160" s="169" t="s">
        <v>1439</v>
      </c>
      <c r="E160" s="169" t="s">
        <v>1651</v>
      </c>
      <c r="F160" s="180">
        <f t="shared" si="50"/>
        <v>2.15</v>
      </c>
      <c r="G160" s="180">
        <v>2.15</v>
      </c>
      <c r="H160" s="180"/>
      <c r="I160" s="180"/>
      <c r="J160" s="180"/>
      <c r="K160" s="180"/>
      <c r="L160" s="180"/>
      <c r="M160" s="180">
        <f t="shared" si="51"/>
        <v>2.15</v>
      </c>
      <c r="N160" s="180"/>
    </row>
    <row r="161" s="1" customFormat="1" ht="26.25" customHeight="1" spans="1:14">
      <c r="A161" s="189" t="s">
        <v>1652</v>
      </c>
      <c r="B161" s="190" t="s">
        <v>1653</v>
      </c>
      <c r="C161" s="191"/>
      <c r="D161" s="192"/>
      <c r="E161" s="192"/>
      <c r="F161" s="167">
        <f t="shared" ref="F161:M161" si="52">SUM(F162:F170)</f>
        <v>416.90164</v>
      </c>
      <c r="G161" s="167">
        <f t="shared" si="52"/>
        <v>416.90164</v>
      </c>
      <c r="H161" s="167">
        <f t="shared" si="52"/>
        <v>0</v>
      </c>
      <c r="I161" s="167">
        <f t="shared" si="52"/>
        <v>0</v>
      </c>
      <c r="J161" s="167">
        <f t="shared" si="52"/>
        <v>0</v>
      </c>
      <c r="K161" s="167">
        <f t="shared" si="52"/>
        <v>0</v>
      </c>
      <c r="L161" s="167">
        <f t="shared" si="52"/>
        <v>0</v>
      </c>
      <c r="M161" s="167">
        <f t="shared" si="52"/>
        <v>416.90164</v>
      </c>
      <c r="N161" s="167"/>
    </row>
    <row r="162" s="1" customFormat="1" ht="26.25" customHeight="1" spans="1:14">
      <c r="A162" s="168" t="s">
        <v>1654</v>
      </c>
      <c r="B162" s="169" t="s">
        <v>1655</v>
      </c>
      <c r="C162" s="170" t="s">
        <v>1656</v>
      </c>
      <c r="D162" s="169" t="s">
        <v>1439</v>
      </c>
      <c r="E162" s="169" t="s">
        <v>1657</v>
      </c>
      <c r="F162" s="180">
        <f t="shared" ref="F162:F170" si="53">SUM(G162:H162)</f>
        <v>1.4</v>
      </c>
      <c r="G162" s="180">
        <v>1.4</v>
      </c>
      <c r="H162" s="180"/>
      <c r="I162" s="180"/>
      <c r="J162" s="180"/>
      <c r="K162" s="180"/>
      <c r="L162" s="180"/>
      <c r="M162" s="180">
        <f t="shared" ref="M162:M170" si="54">F162+I162+J162+K162-L162</f>
        <v>1.4</v>
      </c>
      <c r="N162" s="180"/>
    </row>
    <row r="163" s="1" customFormat="1" ht="26.25" customHeight="1" spans="1:14">
      <c r="A163" s="168" t="s">
        <v>1654</v>
      </c>
      <c r="B163" s="169" t="s">
        <v>1655</v>
      </c>
      <c r="C163" s="170" t="s">
        <v>1656</v>
      </c>
      <c r="D163" s="169" t="s">
        <v>1439</v>
      </c>
      <c r="E163" s="169" t="s">
        <v>1658</v>
      </c>
      <c r="F163" s="180">
        <f t="shared" si="53"/>
        <v>43.84164</v>
      </c>
      <c r="G163" s="180">
        <v>43.84164</v>
      </c>
      <c r="H163" s="180"/>
      <c r="I163" s="180"/>
      <c r="J163" s="180"/>
      <c r="K163" s="180"/>
      <c r="L163" s="180"/>
      <c r="M163" s="180">
        <f t="shared" si="54"/>
        <v>43.84164</v>
      </c>
      <c r="N163" s="180"/>
    </row>
    <row r="164" s="1" customFormat="1" ht="26.25" customHeight="1" spans="1:14">
      <c r="A164" s="168" t="s">
        <v>1654</v>
      </c>
      <c r="B164" s="169" t="s">
        <v>1655</v>
      </c>
      <c r="C164" s="170" t="s">
        <v>1656</v>
      </c>
      <c r="D164" s="169" t="s">
        <v>1439</v>
      </c>
      <c r="E164" s="169" t="s">
        <v>1659</v>
      </c>
      <c r="F164" s="180">
        <f t="shared" si="53"/>
        <v>17</v>
      </c>
      <c r="G164" s="180">
        <v>17</v>
      </c>
      <c r="H164" s="180"/>
      <c r="I164" s="180"/>
      <c r="J164" s="180"/>
      <c r="K164" s="180"/>
      <c r="L164" s="180"/>
      <c r="M164" s="180">
        <f t="shared" si="54"/>
        <v>17</v>
      </c>
      <c r="N164" s="180"/>
    </row>
    <row r="165" s="1" customFormat="1" ht="26.25" customHeight="1" spans="1:14">
      <c r="A165" s="168" t="s">
        <v>1654</v>
      </c>
      <c r="B165" s="169" t="s">
        <v>1655</v>
      </c>
      <c r="C165" s="170" t="s">
        <v>1656</v>
      </c>
      <c r="D165" s="169" t="s">
        <v>1439</v>
      </c>
      <c r="E165" s="169" t="s">
        <v>1660</v>
      </c>
      <c r="F165" s="180">
        <f t="shared" si="53"/>
        <v>218.3773</v>
      </c>
      <c r="G165" s="180">
        <v>218.3773</v>
      </c>
      <c r="H165" s="180"/>
      <c r="I165" s="180"/>
      <c r="J165" s="180"/>
      <c r="K165" s="180"/>
      <c r="L165" s="180"/>
      <c r="M165" s="180">
        <f t="shared" si="54"/>
        <v>218.3773</v>
      </c>
      <c r="N165" s="180"/>
    </row>
    <row r="166" s="1" customFormat="1" ht="26.25" customHeight="1" spans="1:14">
      <c r="A166" s="168" t="s">
        <v>1654</v>
      </c>
      <c r="B166" s="169" t="s">
        <v>1655</v>
      </c>
      <c r="C166" s="170" t="s">
        <v>1656</v>
      </c>
      <c r="D166" s="169" t="s">
        <v>1439</v>
      </c>
      <c r="E166" s="169" t="s">
        <v>1661</v>
      </c>
      <c r="F166" s="180">
        <f t="shared" si="53"/>
        <v>10.06</v>
      </c>
      <c r="G166" s="180">
        <v>10.06</v>
      </c>
      <c r="H166" s="180"/>
      <c r="I166" s="180"/>
      <c r="J166" s="180"/>
      <c r="K166" s="180"/>
      <c r="L166" s="180"/>
      <c r="M166" s="180">
        <f t="shared" si="54"/>
        <v>10.06</v>
      </c>
      <c r="N166" s="180"/>
    </row>
    <row r="167" s="1" customFormat="1" ht="26.25" customHeight="1" spans="1:14">
      <c r="A167" s="168" t="s">
        <v>1654</v>
      </c>
      <c r="B167" s="169" t="s">
        <v>1655</v>
      </c>
      <c r="C167" s="170" t="s">
        <v>1656</v>
      </c>
      <c r="D167" s="169" t="s">
        <v>1439</v>
      </c>
      <c r="E167" s="169" t="s">
        <v>1662</v>
      </c>
      <c r="F167" s="180">
        <f t="shared" si="53"/>
        <v>12.491299</v>
      </c>
      <c r="G167" s="180">
        <v>12.491299</v>
      </c>
      <c r="H167" s="180"/>
      <c r="I167" s="180"/>
      <c r="J167" s="180"/>
      <c r="K167" s="180"/>
      <c r="L167" s="180"/>
      <c r="M167" s="180">
        <f t="shared" si="54"/>
        <v>12.491299</v>
      </c>
      <c r="N167" s="180"/>
    </row>
    <row r="168" s="1" customFormat="1" ht="26.25" customHeight="1" spans="1:14">
      <c r="A168" s="168" t="s">
        <v>1654</v>
      </c>
      <c r="B168" s="169" t="s">
        <v>1655</v>
      </c>
      <c r="C168" s="170" t="s">
        <v>1656</v>
      </c>
      <c r="D168" s="169" t="s">
        <v>1439</v>
      </c>
      <c r="E168" s="169" t="s">
        <v>1663</v>
      </c>
      <c r="F168" s="180">
        <f t="shared" si="53"/>
        <v>76.699246</v>
      </c>
      <c r="G168" s="180">
        <v>76.699246</v>
      </c>
      <c r="H168" s="180"/>
      <c r="I168" s="180"/>
      <c r="J168" s="180"/>
      <c r="K168" s="180"/>
      <c r="L168" s="180"/>
      <c r="M168" s="180">
        <f t="shared" si="54"/>
        <v>76.699246</v>
      </c>
      <c r="N168" s="180"/>
    </row>
    <row r="169" s="1" customFormat="1" ht="26.25" customHeight="1" spans="1:14">
      <c r="A169" s="168" t="s">
        <v>1654</v>
      </c>
      <c r="B169" s="169" t="s">
        <v>1655</v>
      </c>
      <c r="C169" s="170" t="s">
        <v>1656</v>
      </c>
      <c r="D169" s="169" t="s">
        <v>1439</v>
      </c>
      <c r="E169" s="169" t="s">
        <v>1664</v>
      </c>
      <c r="F169" s="180">
        <f t="shared" si="53"/>
        <v>10.099679</v>
      </c>
      <c r="G169" s="180">
        <v>10.099679</v>
      </c>
      <c r="H169" s="180"/>
      <c r="I169" s="180"/>
      <c r="J169" s="180"/>
      <c r="K169" s="180"/>
      <c r="L169" s="180"/>
      <c r="M169" s="180">
        <f t="shared" si="54"/>
        <v>10.099679</v>
      </c>
      <c r="N169" s="180"/>
    </row>
    <row r="170" s="1" customFormat="1" ht="26.25" customHeight="1" spans="1:14">
      <c r="A170" s="168" t="s">
        <v>1654</v>
      </c>
      <c r="B170" s="169" t="s">
        <v>1655</v>
      </c>
      <c r="C170" s="170" t="s">
        <v>1656</v>
      </c>
      <c r="D170" s="169" t="s">
        <v>1439</v>
      </c>
      <c r="E170" s="169" t="s">
        <v>1665</v>
      </c>
      <c r="F170" s="180">
        <f t="shared" si="53"/>
        <v>26.932476</v>
      </c>
      <c r="G170" s="180">
        <v>26.932476</v>
      </c>
      <c r="H170" s="180"/>
      <c r="I170" s="180"/>
      <c r="J170" s="180"/>
      <c r="K170" s="180"/>
      <c r="L170" s="180"/>
      <c r="M170" s="180">
        <f t="shared" si="54"/>
        <v>26.932476</v>
      </c>
      <c r="N170" s="180"/>
    </row>
    <row r="171" s="1" customFormat="1" ht="26.25" customHeight="1" spans="1:14">
      <c r="A171" s="189" t="s">
        <v>1666</v>
      </c>
      <c r="B171" s="190" t="s">
        <v>1667</v>
      </c>
      <c r="C171" s="191"/>
      <c r="D171" s="192"/>
      <c r="E171" s="192"/>
      <c r="F171" s="167">
        <f t="shared" ref="F171:M171" si="55">SUM(F172:F180)</f>
        <v>244.685933</v>
      </c>
      <c r="G171" s="167">
        <f t="shared" si="55"/>
        <v>244.685933</v>
      </c>
      <c r="H171" s="167">
        <f t="shared" si="55"/>
        <v>0</v>
      </c>
      <c r="I171" s="167">
        <f t="shared" si="55"/>
        <v>0</v>
      </c>
      <c r="J171" s="167">
        <f t="shared" si="55"/>
        <v>0</v>
      </c>
      <c r="K171" s="167">
        <f t="shared" si="55"/>
        <v>0</v>
      </c>
      <c r="L171" s="167">
        <f t="shared" si="55"/>
        <v>0</v>
      </c>
      <c r="M171" s="167">
        <f t="shared" si="55"/>
        <v>244.685933</v>
      </c>
      <c r="N171" s="167"/>
    </row>
    <row r="172" s="1" customFormat="1" ht="26.25" customHeight="1" spans="1:14">
      <c r="A172" s="168" t="s">
        <v>1668</v>
      </c>
      <c r="B172" s="169" t="s">
        <v>1669</v>
      </c>
      <c r="C172" s="170" t="s">
        <v>1670</v>
      </c>
      <c r="D172" s="169" t="s">
        <v>1439</v>
      </c>
      <c r="E172" s="169" t="s">
        <v>1671</v>
      </c>
      <c r="F172" s="180">
        <f t="shared" ref="F172:F180" si="56">SUM(G172:H172)</f>
        <v>1.3</v>
      </c>
      <c r="G172" s="180">
        <v>1.3</v>
      </c>
      <c r="H172" s="180"/>
      <c r="I172" s="180"/>
      <c r="J172" s="180"/>
      <c r="K172" s="180"/>
      <c r="L172" s="180"/>
      <c r="M172" s="180">
        <f t="shared" ref="M172:M180" si="57">F172+I172+J172+K172-L172</f>
        <v>1.3</v>
      </c>
      <c r="N172" s="180"/>
    </row>
    <row r="173" s="1" customFormat="1" ht="26.25" customHeight="1" spans="1:14">
      <c r="A173" s="168" t="s">
        <v>1668</v>
      </c>
      <c r="B173" s="169" t="s">
        <v>1669</v>
      </c>
      <c r="C173" s="170" t="s">
        <v>1670</v>
      </c>
      <c r="D173" s="169" t="s">
        <v>1439</v>
      </c>
      <c r="E173" s="169" t="s">
        <v>1672</v>
      </c>
      <c r="F173" s="180">
        <f t="shared" si="56"/>
        <v>36.584619</v>
      </c>
      <c r="G173" s="180">
        <v>36.584619</v>
      </c>
      <c r="H173" s="180"/>
      <c r="I173" s="180"/>
      <c r="J173" s="180"/>
      <c r="K173" s="180"/>
      <c r="L173" s="180"/>
      <c r="M173" s="180">
        <f t="shared" si="57"/>
        <v>36.584619</v>
      </c>
      <c r="N173" s="180"/>
    </row>
    <row r="174" s="1" customFormat="1" ht="26.25" customHeight="1" spans="1:14">
      <c r="A174" s="168" t="s">
        <v>1668</v>
      </c>
      <c r="B174" s="169" t="s">
        <v>1669</v>
      </c>
      <c r="C174" s="170" t="s">
        <v>1670</v>
      </c>
      <c r="D174" s="169" t="s">
        <v>1439</v>
      </c>
      <c r="E174" s="169" t="s">
        <v>1673</v>
      </c>
      <c r="F174" s="180">
        <f t="shared" si="56"/>
        <v>47.999964</v>
      </c>
      <c r="G174" s="180">
        <v>47.999964</v>
      </c>
      <c r="H174" s="180"/>
      <c r="I174" s="180"/>
      <c r="J174" s="180"/>
      <c r="K174" s="180"/>
      <c r="L174" s="180"/>
      <c r="M174" s="180">
        <f t="shared" si="57"/>
        <v>47.999964</v>
      </c>
      <c r="N174" s="180"/>
    </row>
    <row r="175" s="1" customFormat="1" ht="26.25" customHeight="1" spans="1:14">
      <c r="A175" s="168" t="s">
        <v>1668</v>
      </c>
      <c r="B175" s="169" t="s">
        <v>1669</v>
      </c>
      <c r="C175" s="170" t="s">
        <v>1670</v>
      </c>
      <c r="D175" s="169" t="s">
        <v>1439</v>
      </c>
      <c r="E175" s="169" t="s">
        <v>1674</v>
      </c>
      <c r="F175" s="180">
        <f t="shared" si="56"/>
        <v>121.563724</v>
      </c>
      <c r="G175" s="180">
        <v>121.563724</v>
      </c>
      <c r="H175" s="180"/>
      <c r="I175" s="180"/>
      <c r="J175" s="180"/>
      <c r="K175" s="180"/>
      <c r="L175" s="180"/>
      <c r="M175" s="180">
        <f t="shared" si="57"/>
        <v>121.563724</v>
      </c>
      <c r="N175" s="180"/>
    </row>
    <row r="176" s="1" customFormat="1" ht="26.25" customHeight="1" spans="1:14">
      <c r="A176" s="168" t="s">
        <v>1668</v>
      </c>
      <c r="B176" s="169" t="s">
        <v>1669</v>
      </c>
      <c r="C176" s="170" t="s">
        <v>1670</v>
      </c>
      <c r="D176" s="169" t="s">
        <v>1439</v>
      </c>
      <c r="E176" s="169" t="s">
        <v>1675</v>
      </c>
      <c r="F176" s="180">
        <f t="shared" si="56"/>
        <v>4.2</v>
      </c>
      <c r="G176" s="180">
        <v>4.2</v>
      </c>
      <c r="H176" s="180"/>
      <c r="I176" s="180"/>
      <c r="J176" s="180"/>
      <c r="K176" s="180"/>
      <c r="L176" s="180"/>
      <c r="M176" s="180">
        <f t="shared" si="57"/>
        <v>4.2</v>
      </c>
      <c r="N176" s="180"/>
    </row>
    <row r="177" s="1" customFormat="1" ht="26.25" customHeight="1" spans="1:14">
      <c r="A177" s="168" t="s">
        <v>1668</v>
      </c>
      <c r="B177" s="169" t="s">
        <v>1669</v>
      </c>
      <c r="C177" s="170" t="s">
        <v>1670</v>
      </c>
      <c r="D177" s="169" t="s">
        <v>1439</v>
      </c>
      <c r="E177" s="169" t="s">
        <v>1676</v>
      </c>
      <c r="F177" s="180">
        <f t="shared" si="56"/>
        <v>9</v>
      </c>
      <c r="G177" s="180">
        <v>9</v>
      </c>
      <c r="H177" s="180"/>
      <c r="I177" s="180"/>
      <c r="J177" s="180"/>
      <c r="K177" s="180"/>
      <c r="L177" s="180"/>
      <c r="M177" s="180">
        <f t="shared" si="57"/>
        <v>9</v>
      </c>
      <c r="N177" s="180"/>
    </row>
    <row r="178" s="1" customFormat="1" ht="26.25" customHeight="1" spans="1:14">
      <c r="A178" s="168" t="s">
        <v>1668</v>
      </c>
      <c r="B178" s="169" t="s">
        <v>1669</v>
      </c>
      <c r="C178" s="170" t="s">
        <v>1670</v>
      </c>
      <c r="D178" s="169" t="s">
        <v>1439</v>
      </c>
      <c r="E178" s="169" t="s">
        <v>1677</v>
      </c>
      <c r="F178" s="180">
        <f t="shared" si="56"/>
        <v>12.880056</v>
      </c>
      <c r="G178" s="180">
        <v>12.880056</v>
      </c>
      <c r="H178" s="180"/>
      <c r="I178" s="180"/>
      <c r="J178" s="180"/>
      <c r="K178" s="180"/>
      <c r="L178" s="180"/>
      <c r="M178" s="180">
        <f t="shared" si="57"/>
        <v>12.880056</v>
      </c>
      <c r="N178" s="180"/>
    </row>
    <row r="179" s="1" customFormat="1" ht="26.25" customHeight="1" spans="1:14">
      <c r="A179" s="168" t="s">
        <v>1668</v>
      </c>
      <c r="B179" s="169" t="s">
        <v>1669</v>
      </c>
      <c r="C179" s="170" t="s">
        <v>1670</v>
      </c>
      <c r="D179" s="169" t="s">
        <v>1439</v>
      </c>
      <c r="E179" s="169" t="s">
        <v>1678</v>
      </c>
      <c r="F179" s="180">
        <f t="shared" si="56"/>
        <v>4.830021</v>
      </c>
      <c r="G179" s="180">
        <v>4.830021</v>
      </c>
      <c r="H179" s="180"/>
      <c r="I179" s="180"/>
      <c r="J179" s="180"/>
      <c r="K179" s="180"/>
      <c r="L179" s="180"/>
      <c r="M179" s="180">
        <f t="shared" si="57"/>
        <v>4.830021</v>
      </c>
      <c r="N179" s="180"/>
    </row>
    <row r="180" s="1" customFormat="1" ht="26.25" customHeight="1" spans="1:14">
      <c r="A180" s="168" t="s">
        <v>1668</v>
      </c>
      <c r="B180" s="169" t="s">
        <v>1669</v>
      </c>
      <c r="C180" s="170" t="s">
        <v>1670</v>
      </c>
      <c r="D180" s="169" t="s">
        <v>1439</v>
      </c>
      <c r="E180" s="169" t="s">
        <v>1679</v>
      </c>
      <c r="F180" s="180">
        <f t="shared" si="56"/>
        <v>6.327549</v>
      </c>
      <c r="G180" s="180">
        <v>6.327549</v>
      </c>
      <c r="H180" s="180"/>
      <c r="I180" s="180"/>
      <c r="J180" s="180"/>
      <c r="K180" s="180"/>
      <c r="L180" s="180"/>
      <c r="M180" s="180">
        <f t="shared" si="57"/>
        <v>6.327549</v>
      </c>
      <c r="N180" s="180"/>
    </row>
    <row r="181" s="1" customFormat="1" ht="26.25" customHeight="1" spans="1:14">
      <c r="A181" s="189" t="s">
        <v>1680</v>
      </c>
      <c r="B181" s="190" t="s">
        <v>1681</v>
      </c>
      <c r="C181" s="191"/>
      <c r="D181" s="192"/>
      <c r="E181" s="192"/>
      <c r="F181" s="167">
        <f t="shared" ref="F181:M181" si="58">SUM(F182:F187)</f>
        <v>27.320816</v>
      </c>
      <c r="G181" s="167">
        <f t="shared" si="58"/>
        <v>27.320816</v>
      </c>
      <c r="H181" s="167">
        <f t="shared" si="58"/>
        <v>0</v>
      </c>
      <c r="I181" s="167">
        <f t="shared" si="58"/>
        <v>0</v>
      </c>
      <c r="J181" s="167">
        <f t="shared" si="58"/>
        <v>0</v>
      </c>
      <c r="K181" s="167">
        <f t="shared" si="58"/>
        <v>0</v>
      </c>
      <c r="L181" s="167">
        <f t="shared" si="58"/>
        <v>0</v>
      </c>
      <c r="M181" s="167">
        <f t="shared" si="58"/>
        <v>27.320816</v>
      </c>
      <c r="N181" s="167"/>
    </row>
    <row r="182" s="1" customFormat="1" ht="26.25" customHeight="1" spans="1:14">
      <c r="A182" s="168" t="s">
        <v>1682</v>
      </c>
      <c r="B182" s="169" t="s">
        <v>1683</v>
      </c>
      <c r="C182" s="170" t="s">
        <v>1684</v>
      </c>
      <c r="D182" s="169" t="s">
        <v>1439</v>
      </c>
      <c r="E182" s="169" t="s">
        <v>1685</v>
      </c>
      <c r="F182" s="180">
        <f t="shared" ref="F182:F187" si="59">SUM(G182:H182)</f>
        <v>1.128</v>
      </c>
      <c r="G182" s="180">
        <v>1.128</v>
      </c>
      <c r="H182" s="180"/>
      <c r="I182" s="180"/>
      <c r="J182" s="180"/>
      <c r="K182" s="180"/>
      <c r="L182" s="180"/>
      <c r="M182" s="180">
        <f t="shared" ref="M182:M187" si="60">F182+I182+J182+K182-L182</f>
        <v>1.128</v>
      </c>
      <c r="N182" s="180"/>
    </row>
    <row r="183" s="1" customFormat="1" ht="26.25" customHeight="1" spans="1:14">
      <c r="A183" s="168" t="s">
        <v>1682</v>
      </c>
      <c r="B183" s="169" t="s">
        <v>1683</v>
      </c>
      <c r="C183" s="170" t="s">
        <v>1684</v>
      </c>
      <c r="D183" s="169" t="s">
        <v>1439</v>
      </c>
      <c r="E183" s="169" t="s">
        <v>1686</v>
      </c>
      <c r="F183" s="180">
        <f t="shared" si="59"/>
        <v>1</v>
      </c>
      <c r="G183" s="180">
        <v>1</v>
      </c>
      <c r="H183" s="180"/>
      <c r="I183" s="180"/>
      <c r="J183" s="180"/>
      <c r="K183" s="180"/>
      <c r="L183" s="180"/>
      <c r="M183" s="180">
        <f t="shared" si="60"/>
        <v>1</v>
      </c>
      <c r="N183" s="180"/>
    </row>
    <row r="184" s="1" customFormat="1" ht="26.25" customHeight="1" spans="1:14">
      <c r="A184" s="168" t="s">
        <v>1682</v>
      </c>
      <c r="B184" s="169" t="s">
        <v>1683</v>
      </c>
      <c r="C184" s="170" t="s">
        <v>1684</v>
      </c>
      <c r="D184" s="169" t="s">
        <v>1439</v>
      </c>
      <c r="E184" s="169" t="s">
        <v>1687</v>
      </c>
      <c r="F184" s="180">
        <f t="shared" si="59"/>
        <v>2.124216</v>
      </c>
      <c r="G184" s="180">
        <v>2.124216</v>
      </c>
      <c r="H184" s="180"/>
      <c r="I184" s="180"/>
      <c r="J184" s="180"/>
      <c r="K184" s="180"/>
      <c r="L184" s="180"/>
      <c r="M184" s="180">
        <f t="shared" si="60"/>
        <v>2.124216</v>
      </c>
      <c r="N184" s="180"/>
    </row>
    <row r="185" s="1" customFormat="1" ht="26.25" customHeight="1" spans="1:14">
      <c r="A185" s="168" t="s">
        <v>1682</v>
      </c>
      <c r="B185" s="169" t="s">
        <v>1683</v>
      </c>
      <c r="C185" s="170" t="s">
        <v>1684</v>
      </c>
      <c r="D185" s="169" t="s">
        <v>1439</v>
      </c>
      <c r="E185" s="169" t="s">
        <v>1688</v>
      </c>
      <c r="F185" s="180">
        <f t="shared" si="59"/>
        <v>5.698219</v>
      </c>
      <c r="G185" s="180">
        <v>5.698219</v>
      </c>
      <c r="H185" s="180"/>
      <c r="I185" s="180"/>
      <c r="J185" s="180"/>
      <c r="K185" s="180"/>
      <c r="L185" s="180"/>
      <c r="M185" s="180">
        <f t="shared" si="60"/>
        <v>5.698219</v>
      </c>
      <c r="N185" s="180"/>
    </row>
    <row r="186" s="1" customFormat="1" ht="26.25" customHeight="1" spans="1:14">
      <c r="A186" s="168" t="s">
        <v>1682</v>
      </c>
      <c r="B186" s="169" t="s">
        <v>1683</v>
      </c>
      <c r="C186" s="170" t="s">
        <v>1684</v>
      </c>
      <c r="D186" s="169" t="s">
        <v>1439</v>
      </c>
      <c r="E186" s="169" t="s">
        <v>1689</v>
      </c>
      <c r="F186" s="180">
        <f t="shared" si="59"/>
        <v>0.796581</v>
      </c>
      <c r="G186" s="180">
        <v>0.796581</v>
      </c>
      <c r="H186" s="180"/>
      <c r="I186" s="180"/>
      <c r="J186" s="180"/>
      <c r="K186" s="180"/>
      <c r="L186" s="180"/>
      <c r="M186" s="180">
        <f t="shared" si="60"/>
        <v>0.796581</v>
      </c>
      <c r="N186" s="180"/>
    </row>
    <row r="187" s="1" customFormat="1" ht="26.25" customHeight="1" spans="1:14">
      <c r="A187" s="168" t="s">
        <v>1682</v>
      </c>
      <c r="B187" s="169" t="s">
        <v>1683</v>
      </c>
      <c r="C187" s="170" t="s">
        <v>1684</v>
      </c>
      <c r="D187" s="169" t="s">
        <v>1439</v>
      </c>
      <c r="E187" s="169" t="s">
        <v>1690</v>
      </c>
      <c r="F187" s="180">
        <f t="shared" si="59"/>
        <v>16.5738</v>
      </c>
      <c r="G187" s="180">
        <v>16.5738</v>
      </c>
      <c r="H187" s="180"/>
      <c r="I187" s="180"/>
      <c r="J187" s="180"/>
      <c r="K187" s="180"/>
      <c r="L187" s="180"/>
      <c r="M187" s="180">
        <f t="shared" si="60"/>
        <v>16.5738</v>
      </c>
      <c r="N187" s="180"/>
    </row>
    <row r="188" s="1" customFormat="1" ht="26.25" customHeight="1" spans="1:14">
      <c r="A188" s="189" t="s">
        <v>1691</v>
      </c>
      <c r="B188" s="190" t="s">
        <v>1692</v>
      </c>
      <c r="C188" s="191"/>
      <c r="D188" s="192"/>
      <c r="E188" s="192"/>
      <c r="F188" s="167">
        <f t="shared" ref="F188:M188" si="61">SUM(F189:F197)</f>
        <v>141.207637</v>
      </c>
      <c r="G188" s="167">
        <f t="shared" si="61"/>
        <v>141.207637</v>
      </c>
      <c r="H188" s="167">
        <f t="shared" si="61"/>
        <v>0</v>
      </c>
      <c r="I188" s="167">
        <f t="shared" si="61"/>
        <v>0</v>
      </c>
      <c r="J188" s="167">
        <f t="shared" si="61"/>
        <v>51</v>
      </c>
      <c r="K188" s="167">
        <f t="shared" si="61"/>
        <v>0</v>
      </c>
      <c r="L188" s="167">
        <f t="shared" si="61"/>
        <v>0</v>
      </c>
      <c r="M188" s="167">
        <f t="shared" si="61"/>
        <v>192.207637</v>
      </c>
      <c r="N188" s="167"/>
    </row>
    <row r="189" s="1" customFormat="1" ht="26.25" customHeight="1" spans="1:14">
      <c r="A189" s="168" t="s">
        <v>1693</v>
      </c>
      <c r="B189" s="169" t="s">
        <v>1694</v>
      </c>
      <c r="C189" s="170" t="s">
        <v>1695</v>
      </c>
      <c r="D189" s="169" t="s">
        <v>1439</v>
      </c>
      <c r="E189" s="169" t="s">
        <v>1696</v>
      </c>
      <c r="F189" s="180">
        <f t="shared" ref="F189:F197" si="62">SUM(G189:H189)</f>
        <v>2.76</v>
      </c>
      <c r="G189" s="180">
        <v>2.76</v>
      </c>
      <c r="H189" s="180"/>
      <c r="I189" s="180"/>
      <c r="J189" s="180"/>
      <c r="K189" s="180"/>
      <c r="L189" s="180"/>
      <c r="M189" s="180">
        <f t="shared" ref="M189:M197" si="63">F189+I189+J189+K189-L189</f>
        <v>2.76</v>
      </c>
      <c r="N189" s="180"/>
    </row>
    <row r="190" s="1" customFormat="1" ht="26.25" customHeight="1" spans="1:14">
      <c r="A190" s="168" t="s">
        <v>1693</v>
      </c>
      <c r="B190" s="169" t="s">
        <v>1694</v>
      </c>
      <c r="C190" s="170" t="s">
        <v>1695</v>
      </c>
      <c r="D190" s="169" t="s">
        <v>1439</v>
      </c>
      <c r="E190" s="169" t="s">
        <v>1697</v>
      </c>
      <c r="F190" s="180">
        <f t="shared" si="62"/>
        <v>3.7764</v>
      </c>
      <c r="G190" s="180">
        <v>3.7764</v>
      </c>
      <c r="H190" s="180"/>
      <c r="I190" s="180"/>
      <c r="J190" s="180"/>
      <c r="K190" s="180"/>
      <c r="L190" s="180"/>
      <c r="M190" s="180">
        <f t="shared" si="63"/>
        <v>3.7764</v>
      </c>
      <c r="N190" s="180"/>
    </row>
    <row r="191" s="1" customFormat="1" ht="26.25" customHeight="1" spans="1:14">
      <c r="A191" s="168" t="s">
        <v>1693</v>
      </c>
      <c r="B191" s="169" t="s">
        <v>1694</v>
      </c>
      <c r="C191" s="170" t="s">
        <v>1695</v>
      </c>
      <c r="D191" s="169" t="s">
        <v>1439</v>
      </c>
      <c r="E191" s="169" t="s">
        <v>1698</v>
      </c>
      <c r="F191" s="180">
        <f t="shared" si="62"/>
        <v>10.289172</v>
      </c>
      <c r="G191" s="180">
        <v>10.289172</v>
      </c>
      <c r="H191" s="180"/>
      <c r="I191" s="180"/>
      <c r="J191" s="180"/>
      <c r="K191" s="180"/>
      <c r="L191" s="180"/>
      <c r="M191" s="180">
        <f t="shared" si="63"/>
        <v>10.289172</v>
      </c>
      <c r="N191" s="180"/>
    </row>
    <row r="192" s="1" customFormat="1" ht="26.25" customHeight="1" spans="1:14">
      <c r="A192" s="168" t="s">
        <v>1693</v>
      </c>
      <c r="B192" s="169" t="s">
        <v>1694</v>
      </c>
      <c r="C192" s="170" t="s">
        <v>1695</v>
      </c>
      <c r="D192" s="169" t="s">
        <v>1439</v>
      </c>
      <c r="E192" s="169" t="s">
        <v>1699</v>
      </c>
      <c r="F192" s="180">
        <f t="shared" si="62"/>
        <v>28.927613</v>
      </c>
      <c r="G192" s="180">
        <v>28.927613</v>
      </c>
      <c r="H192" s="180"/>
      <c r="I192" s="180"/>
      <c r="J192" s="180"/>
      <c r="K192" s="180"/>
      <c r="L192" s="180"/>
      <c r="M192" s="180">
        <f t="shared" si="63"/>
        <v>28.927613</v>
      </c>
      <c r="N192" s="180"/>
    </row>
    <row r="193" s="1" customFormat="1" ht="26.25" customHeight="1" spans="1:14">
      <c r="A193" s="168" t="s">
        <v>1693</v>
      </c>
      <c r="B193" s="169" t="s">
        <v>1694</v>
      </c>
      <c r="C193" s="170" t="s">
        <v>1695</v>
      </c>
      <c r="D193" s="169" t="s">
        <v>1439</v>
      </c>
      <c r="E193" s="169" t="s">
        <v>1700</v>
      </c>
      <c r="F193" s="180">
        <f t="shared" si="62"/>
        <v>82.9831</v>
      </c>
      <c r="G193" s="180">
        <v>82.9831</v>
      </c>
      <c r="H193" s="180"/>
      <c r="I193" s="180"/>
      <c r="J193" s="180">
        <v>51</v>
      </c>
      <c r="K193" s="180"/>
      <c r="L193" s="180"/>
      <c r="M193" s="180">
        <f t="shared" si="63"/>
        <v>133.9831</v>
      </c>
      <c r="N193" s="180"/>
    </row>
    <row r="194" s="1" customFormat="1" ht="26.25" customHeight="1" spans="1:14">
      <c r="A194" s="168" t="s">
        <v>1693</v>
      </c>
      <c r="B194" s="169" t="s">
        <v>1694</v>
      </c>
      <c r="C194" s="170" t="s">
        <v>1695</v>
      </c>
      <c r="D194" s="169" t="s">
        <v>1439</v>
      </c>
      <c r="E194" s="169" t="s">
        <v>1701</v>
      </c>
      <c r="F194" s="180">
        <f t="shared" si="62"/>
        <v>0.512912</v>
      </c>
      <c r="G194" s="180">
        <v>0.512912</v>
      </c>
      <c r="H194" s="180"/>
      <c r="I194" s="180"/>
      <c r="J194" s="180"/>
      <c r="K194" s="180"/>
      <c r="L194" s="180"/>
      <c r="M194" s="180">
        <f t="shared" si="63"/>
        <v>0.512912</v>
      </c>
      <c r="N194" s="180"/>
    </row>
    <row r="195" s="1" customFormat="1" ht="26.25" customHeight="1" spans="1:14">
      <c r="A195" s="168" t="s">
        <v>1693</v>
      </c>
      <c r="B195" s="169" t="s">
        <v>1694</v>
      </c>
      <c r="C195" s="170" t="s">
        <v>1695</v>
      </c>
      <c r="D195" s="169" t="s">
        <v>1439</v>
      </c>
      <c r="E195" s="169" t="s">
        <v>1702</v>
      </c>
      <c r="F195" s="180">
        <f t="shared" si="62"/>
        <v>8</v>
      </c>
      <c r="G195" s="180">
        <v>8</v>
      </c>
      <c r="H195" s="180"/>
      <c r="I195" s="180"/>
      <c r="J195" s="180"/>
      <c r="K195" s="180"/>
      <c r="L195" s="180"/>
      <c r="M195" s="180">
        <f t="shared" si="63"/>
        <v>8</v>
      </c>
      <c r="N195" s="180"/>
    </row>
    <row r="196" s="1" customFormat="1" ht="26.25" customHeight="1" spans="1:14">
      <c r="A196" s="168" t="s">
        <v>1693</v>
      </c>
      <c r="B196" s="169" t="s">
        <v>1694</v>
      </c>
      <c r="C196" s="170" t="s">
        <v>1695</v>
      </c>
      <c r="D196" s="169" t="s">
        <v>1439</v>
      </c>
      <c r="E196" s="169" t="s">
        <v>1703</v>
      </c>
      <c r="F196" s="180">
        <f t="shared" si="62"/>
        <v>0.1</v>
      </c>
      <c r="G196" s="180">
        <v>0.1</v>
      </c>
      <c r="H196" s="180"/>
      <c r="I196" s="180"/>
      <c r="J196" s="180"/>
      <c r="K196" s="180"/>
      <c r="L196" s="180"/>
      <c r="M196" s="180">
        <f t="shared" si="63"/>
        <v>0.1</v>
      </c>
      <c r="N196" s="180"/>
    </row>
    <row r="197" s="1" customFormat="1" ht="26.25" customHeight="1" spans="1:14">
      <c r="A197" s="168" t="s">
        <v>1693</v>
      </c>
      <c r="B197" s="169" t="s">
        <v>1694</v>
      </c>
      <c r="C197" s="170" t="s">
        <v>1695</v>
      </c>
      <c r="D197" s="169" t="s">
        <v>1439</v>
      </c>
      <c r="E197" s="169" t="s">
        <v>1704</v>
      </c>
      <c r="F197" s="180">
        <f t="shared" si="62"/>
        <v>3.85844</v>
      </c>
      <c r="G197" s="180">
        <v>3.85844</v>
      </c>
      <c r="H197" s="180"/>
      <c r="I197" s="180"/>
      <c r="J197" s="180"/>
      <c r="K197" s="180"/>
      <c r="L197" s="180"/>
      <c r="M197" s="180">
        <f t="shared" si="63"/>
        <v>3.85844</v>
      </c>
      <c r="N197" s="180"/>
    </row>
    <row r="198" s="1" customFormat="1" ht="26.25" customHeight="1" spans="1:14">
      <c r="A198" s="189" t="s">
        <v>1705</v>
      </c>
      <c r="B198" s="190" t="s">
        <v>1706</v>
      </c>
      <c r="C198" s="191"/>
      <c r="D198" s="192"/>
      <c r="E198" s="192"/>
      <c r="F198" s="167">
        <f t="shared" ref="F198:M198" si="64">SUM(F199:F207)</f>
        <v>271.958754</v>
      </c>
      <c r="G198" s="167">
        <f t="shared" si="64"/>
        <v>271.958754</v>
      </c>
      <c r="H198" s="167">
        <f t="shared" si="64"/>
        <v>0</v>
      </c>
      <c r="I198" s="167">
        <f t="shared" si="64"/>
        <v>0</v>
      </c>
      <c r="J198" s="167">
        <f t="shared" si="64"/>
        <v>50</v>
      </c>
      <c r="K198" s="167">
        <f t="shared" si="64"/>
        <v>0</v>
      </c>
      <c r="L198" s="167">
        <f t="shared" si="64"/>
        <v>0</v>
      </c>
      <c r="M198" s="167">
        <f t="shared" si="64"/>
        <v>321.958754</v>
      </c>
      <c r="N198" s="167"/>
    </row>
    <row r="199" s="1" customFormat="1" ht="26.25" customHeight="1" spans="1:14">
      <c r="A199" s="168" t="s">
        <v>1707</v>
      </c>
      <c r="B199" s="169" t="s">
        <v>1708</v>
      </c>
      <c r="C199" s="170" t="s">
        <v>1709</v>
      </c>
      <c r="D199" s="169" t="s">
        <v>1439</v>
      </c>
      <c r="E199" s="169" t="s">
        <v>1710</v>
      </c>
      <c r="F199" s="180">
        <f t="shared" ref="F199:F207" si="65">SUM(G199:H199)</f>
        <v>46.659667</v>
      </c>
      <c r="G199" s="180">
        <v>46.659667</v>
      </c>
      <c r="H199" s="180"/>
      <c r="I199" s="180"/>
      <c r="J199" s="180"/>
      <c r="K199" s="180"/>
      <c r="L199" s="180"/>
      <c r="M199" s="180">
        <f t="shared" ref="M199:M207" si="66">F199+I199+J199+K199-L199</f>
        <v>46.659667</v>
      </c>
      <c r="N199" s="180"/>
    </row>
    <row r="200" s="1" customFormat="1" ht="26.25" customHeight="1" spans="1:14">
      <c r="A200" s="168" t="s">
        <v>1707</v>
      </c>
      <c r="B200" s="169" t="s">
        <v>1708</v>
      </c>
      <c r="C200" s="170" t="s">
        <v>1709</v>
      </c>
      <c r="D200" s="169" t="s">
        <v>1439</v>
      </c>
      <c r="E200" s="169" t="s">
        <v>1711</v>
      </c>
      <c r="F200" s="180">
        <f t="shared" si="65"/>
        <v>5.1</v>
      </c>
      <c r="G200" s="180">
        <v>5.1</v>
      </c>
      <c r="H200" s="180"/>
      <c r="I200" s="180"/>
      <c r="J200" s="180"/>
      <c r="K200" s="180"/>
      <c r="L200" s="180"/>
      <c r="M200" s="180">
        <f t="shared" si="66"/>
        <v>5.1</v>
      </c>
      <c r="N200" s="180"/>
    </row>
    <row r="201" s="1" customFormat="1" ht="26.25" customHeight="1" spans="1:14">
      <c r="A201" s="168" t="s">
        <v>1707</v>
      </c>
      <c r="B201" s="169" t="s">
        <v>1708</v>
      </c>
      <c r="C201" s="170" t="s">
        <v>1709</v>
      </c>
      <c r="D201" s="169" t="s">
        <v>1439</v>
      </c>
      <c r="E201" s="169" t="s">
        <v>1712</v>
      </c>
      <c r="F201" s="180">
        <f t="shared" si="65"/>
        <v>6.124253</v>
      </c>
      <c r="G201" s="180">
        <v>6.124253</v>
      </c>
      <c r="H201" s="180"/>
      <c r="I201" s="180"/>
      <c r="J201" s="180"/>
      <c r="K201" s="180"/>
      <c r="L201" s="180"/>
      <c r="M201" s="180">
        <f t="shared" si="66"/>
        <v>6.124253</v>
      </c>
      <c r="N201" s="180"/>
    </row>
    <row r="202" s="1" customFormat="1" ht="26.25" customHeight="1" spans="1:14">
      <c r="A202" s="168" t="s">
        <v>1707</v>
      </c>
      <c r="B202" s="169" t="s">
        <v>1708</v>
      </c>
      <c r="C202" s="170" t="s">
        <v>1709</v>
      </c>
      <c r="D202" s="169" t="s">
        <v>1439</v>
      </c>
      <c r="E202" s="169" t="s">
        <v>1713</v>
      </c>
      <c r="F202" s="180">
        <f t="shared" si="65"/>
        <v>16.33134</v>
      </c>
      <c r="G202" s="180">
        <v>16.33134</v>
      </c>
      <c r="H202" s="180"/>
      <c r="I202" s="180"/>
      <c r="J202" s="180"/>
      <c r="K202" s="180"/>
      <c r="L202" s="180"/>
      <c r="M202" s="180">
        <f t="shared" si="66"/>
        <v>16.33134</v>
      </c>
      <c r="N202" s="180"/>
    </row>
    <row r="203" s="1" customFormat="1" ht="26.25" customHeight="1" spans="1:14">
      <c r="A203" s="168" t="s">
        <v>1707</v>
      </c>
      <c r="B203" s="169" t="s">
        <v>1708</v>
      </c>
      <c r="C203" s="170" t="s">
        <v>1709</v>
      </c>
      <c r="D203" s="169" t="s">
        <v>1439</v>
      </c>
      <c r="E203" s="169" t="s">
        <v>1714</v>
      </c>
      <c r="F203" s="180">
        <f t="shared" si="65"/>
        <v>30.3516</v>
      </c>
      <c r="G203" s="180">
        <v>30.3516</v>
      </c>
      <c r="H203" s="180"/>
      <c r="I203" s="180"/>
      <c r="J203" s="180"/>
      <c r="K203" s="180"/>
      <c r="L203" s="180"/>
      <c r="M203" s="180">
        <f t="shared" si="66"/>
        <v>30.3516</v>
      </c>
      <c r="N203" s="180"/>
    </row>
    <row r="204" s="1" customFormat="1" ht="26.25" customHeight="1" spans="1:14">
      <c r="A204" s="168" t="s">
        <v>1707</v>
      </c>
      <c r="B204" s="169" t="s">
        <v>1708</v>
      </c>
      <c r="C204" s="170" t="s">
        <v>1709</v>
      </c>
      <c r="D204" s="169" t="s">
        <v>1439</v>
      </c>
      <c r="E204" s="169" t="s">
        <v>1715</v>
      </c>
      <c r="F204" s="180">
        <f t="shared" si="65"/>
        <v>150.9945</v>
      </c>
      <c r="G204" s="180">
        <v>150.9945</v>
      </c>
      <c r="H204" s="180"/>
      <c r="I204" s="180"/>
      <c r="J204" s="180">
        <v>50</v>
      </c>
      <c r="K204" s="180"/>
      <c r="L204" s="180"/>
      <c r="M204" s="180">
        <f t="shared" si="66"/>
        <v>200.9945</v>
      </c>
      <c r="N204" s="180"/>
    </row>
    <row r="205" s="1" customFormat="1" ht="26.25" customHeight="1" spans="1:14">
      <c r="A205" s="168" t="s">
        <v>1707</v>
      </c>
      <c r="B205" s="169" t="s">
        <v>1708</v>
      </c>
      <c r="C205" s="170" t="s">
        <v>1709</v>
      </c>
      <c r="D205" s="169" t="s">
        <v>1439</v>
      </c>
      <c r="E205" s="169" t="s">
        <v>1716</v>
      </c>
      <c r="F205" s="180">
        <f t="shared" si="65"/>
        <v>4.497394</v>
      </c>
      <c r="G205" s="180">
        <v>4.497394</v>
      </c>
      <c r="H205" s="180"/>
      <c r="I205" s="180"/>
      <c r="J205" s="180"/>
      <c r="K205" s="180"/>
      <c r="L205" s="180"/>
      <c r="M205" s="180">
        <f t="shared" si="66"/>
        <v>4.497394</v>
      </c>
      <c r="N205" s="180"/>
    </row>
    <row r="206" s="1" customFormat="1" ht="26.25" customHeight="1" spans="1:14">
      <c r="A206" s="168" t="s">
        <v>1707</v>
      </c>
      <c r="B206" s="169" t="s">
        <v>1708</v>
      </c>
      <c r="C206" s="170" t="s">
        <v>1709</v>
      </c>
      <c r="D206" s="169" t="s">
        <v>1439</v>
      </c>
      <c r="E206" s="169" t="s">
        <v>1717</v>
      </c>
      <c r="F206" s="180">
        <f t="shared" si="65"/>
        <v>11</v>
      </c>
      <c r="G206" s="180">
        <v>11</v>
      </c>
      <c r="H206" s="180"/>
      <c r="I206" s="180"/>
      <c r="J206" s="180"/>
      <c r="K206" s="180"/>
      <c r="L206" s="180"/>
      <c r="M206" s="180">
        <f t="shared" si="66"/>
        <v>11</v>
      </c>
      <c r="N206" s="180"/>
    </row>
    <row r="207" s="1" customFormat="1" ht="26.25" customHeight="1" spans="1:14">
      <c r="A207" s="168" t="s">
        <v>1707</v>
      </c>
      <c r="B207" s="169" t="s">
        <v>1708</v>
      </c>
      <c r="C207" s="170" t="s">
        <v>1709</v>
      </c>
      <c r="D207" s="169" t="s">
        <v>1439</v>
      </c>
      <c r="E207" s="169" t="s">
        <v>1718</v>
      </c>
      <c r="F207" s="180">
        <f t="shared" si="65"/>
        <v>0.9</v>
      </c>
      <c r="G207" s="180">
        <v>0.9</v>
      </c>
      <c r="H207" s="180"/>
      <c r="I207" s="180"/>
      <c r="J207" s="180"/>
      <c r="K207" s="180"/>
      <c r="L207" s="180"/>
      <c r="M207" s="180">
        <f t="shared" si="66"/>
        <v>0.9</v>
      </c>
      <c r="N207" s="180"/>
    </row>
    <row r="208" s="1" customFormat="1" ht="26.25" customHeight="1" spans="1:14">
      <c r="A208" s="189" t="s">
        <v>1719</v>
      </c>
      <c r="B208" s="190" t="s">
        <v>1320</v>
      </c>
      <c r="C208" s="191"/>
      <c r="D208" s="192"/>
      <c r="E208" s="192"/>
      <c r="F208" s="167">
        <f t="shared" ref="F208:M208" si="67">SUM(F209:F214)</f>
        <v>451.108762</v>
      </c>
      <c r="G208" s="167">
        <f t="shared" si="67"/>
        <v>451.108762</v>
      </c>
      <c r="H208" s="167">
        <f t="shared" si="67"/>
        <v>0</v>
      </c>
      <c r="I208" s="167">
        <f t="shared" si="67"/>
        <v>0</v>
      </c>
      <c r="J208" s="167">
        <f t="shared" si="67"/>
        <v>0</v>
      </c>
      <c r="K208" s="167">
        <f t="shared" si="67"/>
        <v>0</v>
      </c>
      <c r="L208" s="167">
        <f t="shared" si="67"/>
        <v>0</v>
      </c>
      <c r="M208" s="167">
        <f t="shared" si="67"/>
        <v>451.108762</v>
      </c>
      <c r="N208" s="167"/>
    </row>
    <row r="209" s="1" customFormat="1" ht="26.25" customHeight="1" spans="1:14">
      <c r="A209" s="168" t="s">
        <v>1720</v>
      </c>
      <c r="B209" s="169" t="s">
        <v>1721</v>
      </c>
      <c r="C209" s="170" t="s">
        <v>1722</v>
      </c>
      <c r="D209" s="169" t="s">
        <v>1723</v>
      </c>
      <c r="E209" s="169" t="s">
        <v>1724</v>
      </c>
      <c r="F209" s="180">
        <f t="shared" ref="F209:F214" si="68">SUM(G209:H209)</f>
        <v>57.6</v>
      </c>
      <c r="G209" s="180">
        <v>57.6</v>
      </c>
      <c r="H209" s="180"/>
      <c r="I209" s="180"/>
      <c r="J209" s="180"/>
      <c r="K209" s="180"/>
      <c r="L209" s="180"/>
      <c r="M209" s="180">
        <f t="shared" ref="M209:M214" si="69">F209+I209+J209+K209-L209</f>
        <v>57.6</v>
      </c>
      <c r="N209" s="180"/>
    </row>
    <row r="210" s="1" customFormat="1" ht="26.25" customHeight="1" spans="1:14">
      <c r="A210" s="168" t="s">
        <v>1720</v>
      </c>
      <c r="B210" s="169" t="s">
        <v>1721</v>
      </c>
      <c r="C210" s="170" t="s">
        <v>1722</v>
      </c>
      <c r="D210" s="169" t="s">
        <v>1723</v>
      </c>
      <c r="E210" s="169" t="s">
        <v>1725</v>
      </c>
      <c r="F210" s="180">
        <f t="shared" si="68"/>
        <v>29.55806</v>
      </c>
      <c r="G210" s="180">
        <v>29.55806</v>
      </c>
      <c r="H210" s="180"/>
      <c r="I210" s="180"/>
      <c r="J210" s="180"/>
      <c r="K210" s="180"/>
      <c r="L210" s="180"/>
      <c r="M210" s="180">
        <f t="shared" si="69"/>
        <v>29.55806</v>
      </c>
      <c r="N210" s="180"/>
    </row>
    <row r="211" s="1" customFormat="1" ht="26.25" customHeight="1" spans="1:14">
      <c r="A211" s="168" t="s">
        <v>1720</v>
      </c>
      <c r="B211" s="169" t="s">
        <v>1721</v>
      </c>
      <c r="C211" s="170" t="s">
        <v>1722</v>
      </c>
      <c r="D211" s="169" t="s">
        <v>1723</v>
      </c>
      <c r="E211" s="169" t="s">
        <v>1726</v>
      </c>
      <c r="F211" s="180">
        <f t="shared" si="68"/>
        <v>11.084272</v>
      </c>
      <c r="G211" s="180">
        <v>11.084272</v>
      </c>
      <c r="H211" s="180"/>
      <c r="I211" s="180"/>
      <c r="J211" s="180"/>
      <c r="K211" s="180"/>
      <c r="L211" s="180"/>
      <c r="M211" s="180">
        <f t="shared" si="69"/>
        <v>11.084272</v>
      </c>
      <c r="N211" s="180"/>
    </row>
    <row r="212" s="1" customFormat="1" ht="26.25" customHeight="1" spans="1:14">
      <c r="A212" s="168" t="s">
        <v>1720</v>
      </c>
      <c r="B212" s="169" t="s">
        <v>1721</v>
      </c>
      <c r="C212" s="170" t="s">
        <v>1722</v>
      </c>
      <c r="D212" s="169" t="s">
        <v>1723</v>
      </c>
      <c r="E212" s="169" t="s">
        <v>1727</v>
      </c>
      <c r="F212" s="180">
        <f t="shared" si="68"/>
        <v>16.720363</v>
      </c>
      <c r="G212" s="180">
        <v>16.720363</v>
      </c>
      <c r="H212" s="180"/>
      <c r="I212" s="180"/>
      <c r="J212" s="180"/>
      <c r="K212" s="180"/>
      <c r="L212" s="180"/>
      <c r="M212" s="180">
        <f t="shared" si="69"/>
        <v>16.720363</v>
      </c>
      <c r="N212" s="180"/>
    </row>
    <row r="213" s="1" customFormat="1" ht="26.25" customHeight="1" spans="1:14">
      <c r="A213" s="168" t="s">
        <v>1720</v>
      </c>
      <c r="B213" s="169" t="s">
        <v>1721</v>
      </c>
      <c r="C213" s="170" t="s">
        <v>1722</v>
      </c>
      <c r="D213" s="169" t="s">
        <v>1723</v>
      </c>
      <c r="E213" s="169" t="s">
        <v>1728</v>
      </c>
      <c r="F213" s="180">
        <f t="shared" si="68"/>
        <v>89.828897</v>
      </c>
      <c r="G213" s="180">
        <v>89.828897</v>
      </c>
      <c r="H213" s="180"/>
      <c r="I213" s="180"/>
      <c r="J213" s="180"/>
      <c r="K213" s="180"/>
      <c r="L213" s="180"/>
      <c r="M213" s="180">
        <f t="shared" si="69"/>
        <v>89.828897</v>
      </c>
      <c r="N213" s="180"/>
    </row>
    <row r="214" s="1" customFormat="1" ht="26.25" customHeight="1" spans="1:14">
      <c r="A214" s="168" t="s">
        <v>1720</v>
      </c>
      <c r="B214" s="169" t="s">
        <v>1721</v>
      </c>
      <c r="C214" s="170" t="s">
        <v>1722</v>
      </c>
      <c r="D214" s="169" t="s">
        <v>1723</v>
      </c>
      <c r="E214" s="169" t="s">
        <v>1729</v>
      </c>
      <c r="F214" s="180">
        <f t="shared" si="68"/>
        <v>246.31717</v>
      </c>
      <c r="G214" s="180">
        <v>246.31717</v>
      </c>
      <c r="H214" s="180"/>
      <c r="I214" s="180"/>
      <c r="J214" s="180"/>
      <c r="K214" s="180"/>
      <c r="L214" s="180"/>
      <c r="M214" s="180">
        <f t="shared" si="69"/>
        <v>246.31717</v>
      </c>
      <c r="N214" s="180"/>
    </row>
    <row r="215" s="1" customFormat="1" ht="26.25" customHeight="1" spans="1:14">
      <c r="A215" s="189" t="s">
        <v>1730</v>
      </c>
      <c r="B215" s="190" t="s">
        <v>1322</v>
      </c>
      <c r="C215" s="191"/>
      <c r="D215" s="192"/>
      <c r="E215" s="192"/>
      <c r="F215" s="167">
        <f t="shared" ref="F215:M215" si="70">SUM(F216:F221)</f>
        <v>281.079276</v>
      </c>
      <c r="G215" s="167">
        <f t="shared" si="70"/>
        <v>281.079276</v>
      </c>
      <c r="H215" s="167">
        <f t="shared" si="70"/>
        <v>0</v>
      </c>
      <c r="I215" s="167">
        <f t="shared" si="70"/>
        <v>0</v>
      </c>
      <c r="J215" s="167">
        <f t="shared" si="70"/>
        <v>0</v>
      </c>
      <c r="K215" s="167">
        <f t="shared" si="70"/>
        <v>0</v>
      </c>
      <c r="L215" s="167">
        <f t="shared" si="70"/>
        <v>0</v>
      </c>
      <c r="M215" s="167">
        <f t="shared" si="70"/>
        <v>281.079276</v>
      </c>
      <c r="N215" s="167"/>
    </row>
    <row r="216" s="1" customFormat="1" ht="26.25" customHeight="1" spans="1:14">
      <c r="A216" s="168" t="s">
        <v>1731</v>
      </c>
      <c r="B216" s="169" t="s">
        <v>1732</v>
      </c>
      <c r="C216" s="170" t="s">
        <v>1722</v>
      </c>
      <c r="D216" s="169" t="s">
        <v>1723</v>
      </c>
      <c r="E216" s="169" t="s">
        <v>1733</v>
      </c>
      <c r="F216" s="180">
        <f t="shared" ref="F216:F221" si="71">SUM(G216:H216)</f>
        <v>50.169024</v>
      </c>
      <c r="G216" s="180">
        <v>50.169024</v>
      </c>
      <c r="H216" s="180"/>
      <c r="I216" s="180"/>
      <c r="J216" s="180"/>
      <c r="K216" s="180"/>
      <c r="L216" s="180"/>
      <c r="M216" s="180">
        <f t="shared" ref="M216:M221" si="72">F216+I216+J216+K216-L216</f>
        <v>50.169024</v>
      </c>
      <c r="N216" s="180"/>
    </row>
    <row r="217" s="1" customFormat="1" ht="26.25" customHeight="1" spans="1:14">
      <c r="A217" s="168" t="s">
        <v>1731</v>
      </c>
      <c r="B217" s="169" t="s">
        <v>1732</v>
      </c>
      <c r="C217" s="170" t="s">
        <v>1722</v>
      </c>
      <c r="D217" s="169" t="s">
        <v>1723</v>
      </c>
      <c r="E217" s="169" t="s">
        <v>1734</v>
      </c>
      <c r="F217" s="180">
        <f t="shared" si="71"/>
        <v>138.176625</v>
      </c>
      <c r="G217" s="180">
        <v>138.176625</v>
      </c>
      <c r="H217" s="180"/>
      <c r="I217" s="180"/>
      <c r="J217" s="180"/>
      <c r="K217" s="180"/>
      <c r="L217" s="180"/>
      <c r="M217" s="180">
        <f t="shared" si="72"/>
        <v>138.176625</v>
      </c>
      <c r="N217" s="180"/>
    </row>
    <row r="218" s="1" customFormat="1" ht="26.25" customHeight="1" spans="1:14">
      <c r="A218" s="168" t="s">
        <v>1731</v>
      </c>
      <c r="B218" s="169" t="s">
        <v>1732</v>
      </c>
      <c r="C218" s="170" t="s">
        <v>1722</v>
      </c>
      <c r="D218" s="169" t="s">
        <v>1723</v>
      </c>
      <c r="E218" s="169" t="s">
        <v>1735</v>
      </c>
      <c r="F218" s="180">
        <f t="shared" si="71"/>
        <v>6.217949</v>
      </c>
      <c r="G218" s="180">
        <v>6.217949</v>
      </c>
      <c r="H218" s="180"/>
      <c r="I218" s="180"/>
      <c r="J218" s="180"/>
      <c r="K218" s="180"/>
      <c r="L218" s="180"/>
      <c r="M218" s="180">
        <f t="shared" si="72"/>
        <v>6.217949</v>
      </c>
      <c r="N218" s="180"/>
    </row>
    <row r="219" s="1" customFormat="1" ht="26.25" customHeight="1" spans="1:14">
      <c r="A219" s="168" t="s">
        <v>1731</v>
      </c>
      <c r="B219" s="169" t="s">
        <v>1732</v>
      </c>
      <c r="C219" s="170" t="s">
        <v>1722</v>
      </c>
      <c r="D219" s="169" t="s">
        <v>1723</v>
      </c>
      <c r="E219" s="169" t="s">
        <v>1736</v>
      </c>
      <c r="F219" s="180">
        <f t="shared" si="71"/>
        <v>15.934483</v>
      </c>
      <c r="G219" s="180">
        <v>15.934483</v>
      </c>
      <c r="H219" s="180"/>
      <c r="I219" s="180"/>
      <c r="J219" s="180"/>
      <c r="K219" s="180"/>
      <c r="L219" s="180"/>
      <c r="M219" s="180">
        <f t="shared" si="72"/>
        <v>15.934483</v>
      </c>
      <c r="N219" s="180"/>
    </row>
    <row r="220" s="1" customFormat="1" ht="26.25" customHeight="1" spans="1:14">
      <c r="A220" s="168" t="s">
        <v>1731</v>
      </c>
      <c r="B220" s="169" t="s">
        <v>1732</v>
      </c>
      <c r="C220" s="170" t="s">
        <v>1722</v>
      </c>
      <c r="D220" s="169" t="s">
        <v>1723</v>
      </c>
      <c r="E220" s="169" t="s">
        <v>1737</v>
      </c>
      <c r="F220" s="180">
        <f t="shared" si="71"/>
        <v>54</v>
      </c>
      <c r="G220" s="180">
        <v>54</v>
      </c>
      <c r="H220" s="180"/>
      <c r="I220" s="180"/>
      <c r="J220" s="180"/>
      <c r="K220" s="180"/>
      <c r="L220" s="180"/>
      <c r="M220" s="180">
        <f t="shared" si="72"/>
        <v>54</v>
      </c>
      <c r="N220" s="180"/>
    </row>
    <row r="221" s="1" customFormat="1" ht="26.25" customHeight="1" spans="1:14">
      <c r="A221" s="168" t="s">
        <v>1731</v>
      </c>
      <c r="B221" s="169" t="s">
        <v>1732</v>
      </c>
      <c r="C221" s="170" t="s">
        <v>1722</v>
      </c>
      <c r="D221" s="169" t="s">
        <v>1723</v>
      </c>
      <c r="E221" s="169" t="s">
        <v>1738</v>
      </c>
      <c r="F221" s="180">
        <f t="shared" si="71"/>
        <v>16.581195</v>
      </c>
      <c r="G221" s="180">
        <v>16.581195</v>
      </c>
      <c r="H221" s="180"/>
      <c r="I221" s="180"/>
      <c r="J221" s="180"/>
      <c r="K221" s="180"/>
      <c r="L221" s="180"/>
      <c r="M221" s="180">
        <f t="shared" si="72"/>
        <v>16.581195</v>
      </c>
      <c r="N221" s="180"/>
    </row>
    <row r="222" s="1" customFormat="1" ht="26.25" customHeight="1" spans="1:14">
      <c r="A222" s="189" t="s">
        <v>1739</v>
      </c>
      <c r="B222" s="190" t="s">
        <v>1324</v>
      </c>
      <c r="C222" s="191"/>
      <c r="D222" s="192"/>
      <c r="E222" s="192"/>
      <c r="F222" s="167">
        <f t="shared" ref="F222:M222" si="73">SUM(F223:F228)</f>
        <v>266.274261</v>
      </c>
      <c r="G222" s="167">
        <f t="shared" si="73"/>
        <v>266.274261</v>
      </c>
      <c r="H222" s="167">
        <f t="shared" si="73"/>
        <v>0</v>
      </c>
      <c r="I222" s="167">
        <f t="shared" si="73"/>
        <v>0</v>
      </c>
      <c r="J222" s="167">
        <f t="shared" si="73"/>
        <v>0</v>
      </c>
      <c r="K222" s="167">
        <f t="shared" si="73"/>
        <v>0</v>
      </c>
      <c r="L222" s="167">
        <f t="shared" si="73"/>
        <v>0</v>
      </c>
      <c r="M222" s="167">
        <f t="shared" si="73"/>
        <v>266.274261</v>
      </c>
      <c r="N222" s="167"/>
    </row>
    <row r="223" s="1" customFormat="1" ht="26.25" customHeight="1" spans="1:14">
      <c r="A223" s="168" t="s">
        <v>1740</v>
      </c>
      <c r="B223" s="169" t="s">
        <v>1741</v>
      </c>
      <c r="C223" s="170" t="s">
        <v>1722</v>
      </c>
      <c r="D223" s="169" t="s">
        <v>1723</v>
      </c>
      <c r="E223" s="169" t="s">
        <v>1742</v>
      </c>
      <c r="F223" s="180">
        <f t="shared" ref="F223:F228" si="74">SUM(G223:H223)</f>
        <v>15.289335</v>
      </c>
      <c r="G223" s="180">
        <v>15.289335</v>
      </c>
      <c r="H223" s="180"/>
      <c r="I223" s="180"/>
      <c r="J223" s="180"/>
      <c r="K223" s="180"/>
      <c r="L223" s="180"/>
      <c r="M223" s="180">
        <f t="shared" ref="M223:M228" si="75">F223+I223+J223+K223-L223</f>
        <v>15.289335</v>
      </c>
      <c r="N223" s="180"/>
    </row>
    <row r="224" s="1" customFormat="1" ht="26.25" customHeight="1" spans="1:14">
      <c r="A224" s="168" t="s">
        <v>1740</v>
      </c>
      <c r="B224" s="169" t="s">
        <v>1741</v>
      </c>
      <c r="C224" s="170" t="s">
        <v>1722</v>
      </c>
      <c r="D224" s="169" t="s">
        <v>1723</v>
      </c>
      <c r="E224" s="169" t="s">
        <v>1743</v>
      </c>
      <c r="F224" s="180">
        <f t="shared" si="74"/>
        <v>16.316556</v>
      </c>
      <c r="G224" s="180">
        <v>16.316556</v>
      </c>
      <c r="H224" s="180"/>
      <c r="I224" s="180"/>
      <c r="J224" s="180"/>
      <c r="K224" s="180"/>
      <c r="L224" s="180"/>
      <c r="M224" s="180">
        <f t="shared" si="75"/>
        <v>16.316556</v>
      </c>
      <c r="N224" s="180"/>
    </row>
    <row r="225" s="1" customFormat="1" ht="26.25" customHeight="1" spans="1:14">
      <c r="A225" s="168" t="s">
        <v>1740</v>
      </c>
      <c r="B225" s="169" t="s">
        <v>1741</v>
      </c>
      <c r="C225" s="170" t="s">
        <v>1722</v>
      </c>
      <c r="D225" s="169" t="s">
        <v>1723</v>
      </c>
      <c r="E225" s="169" t="s">
        <v>1744</v>
      </c>
      <c r="F225" s="180">
        <f t="shared" si="74"/>
        <v>43.2</v>
      </c>
      <c r="G225" s="180">
        <v>43.2</v>
      </c>
      <c r="H225" s="180"/>
      <c r="I225" s="180"/>
      <c r="J225" s="180"/>
      <c r="K225" s="180"/>
      <c r="L225" s="180"/>
      <c r="M225" s="180">
        <f t="shared" si="75"/>
        <v>43.2</v>
      </c>
      <c r="N225" s="180"/>
    </row>
    <row r="226" s="1" customFormat="1" ht="26.25" customHeight="1" spans="1:14">
      <c r="A226" s="168" t="s">
        <v>1740</v>
      </c>
      <c r="B226" s="169" t="s">
        <v>1741</v>
      </c>
      <c r="C226" s="170" t="s">
        <v>1722</v>
      </c>
      <c r="D226" s="169" t="s">
        <v>1723</v>
      </c>
      <c r="E226" s="169" t="s">
        <v>1745</v>
      </c>
      <c r="F226" s="180">
        <f t="shared" si="74"/>
        <v>49.378366</v>
      </c>
      <c r="G226" s="180">
        <v>49.378366</v>
      </c>
      <c r="H226" s="180"/>
      <c r="I226" s="180"/>
      <c r="J226" s="180"/>
      <c r="K226" s="180"/>
      <c r="L226" s="180"/>
      <c r="M226" s="180">
        <f t="shared" si="75"/>
        <v>49.378366</v>
      </c>
      <c r="N226" s="180"/>
    </row>
    <row r="227" s="1" customFormat="1" ht="26.25" customHeight="1" spans="1:14">
      <c r="A227" s="168" t="s">
        <v>1740</v>
      </c>
      <c r="B227" s="169" t="s">
        <v>1741</v>
      </c>
      <c r="C227" s="170" t="s">
        <v>1722</v>
      </c>
      <c r="D227" s="169" t="s">
        <v>1723</v>
      </c>
      <c r="E227" s="169" t="s">
        <v>1746</v>
      </c>
      <c r="F227" s="180">
        <f t="shared" si="74"/>
        <v>6.118708</v>
      </c>
      <c r="G227" s="180">
        <v>6.118708</v>
      </c>
      <c r="H227" s="180"/>
      <c r="I227" s="180"/>
      <c r="J227" s="180"/>
      <c r="K227" s="180"/>
      <c r="L227" s="180"/>
      <c r="M227" s="180">
        <f t="shared" si="75"/>
        <v>6.118708</v>
      </c>
      <c r="N227" s="180"/>
    </row>
    <row r="228" s="1" customFormat="1" ht="26.25" customHeight="1" spans="1:14">
      <c r="A228" s="168" t="s">
        <v>1740</v>
      </c>
      <c r="B228" s="169" t="s">
        <v>1741</v>
      </c>
      <c r="C228" s="170" t="s">
        <v>1722</v>
      </c>
      <c r="D228" s="169" t="s">
        <v>1723</v>
      </c>
      <c r="E228" s="169" t="s">
        <v>1747</v>
      </c>
      <c r="F228" s="180">
        <f t="shared" si="74"/>
        <v>135.971296</v>
      </c>
      <c r="G228" s="180">
        <v>135.971296</v>
      </c>
      <c r="H228" s="180"/>
      <c r="I228" s="180"/>
      <c r="J228" s="180"/>
      <c r="K228" s="180"/>
      <c r="L228" s="180"/>
      <c r="M228" s="180">
        <f t="shared" si="75"/>
        <v>135.971296</v>
      </c>
      <c r="N228" s="180"/>
    </row>
    <row r="229" s="1" customFormat="1" ht="26.25" customHeight="1" spans="1:14">
      <c r="A229" s="189" t="s">
        <v>1748</v>
      </c>
      <c r="B229" s="190" t="s">
        <v>1326</v>
      </c>
      <c r="C229" s="191"/>
      <c r="D229" s="192"/>
      <c r="E229" s="192"/>
      <c r="F229" s="167">
        <f t="shared" ref="F229:M229" si="76">SUM(F230:F235)</f>
        <v>428.265521</v>
      </c>
      <c r="G229" s="167">
        <f t="shared" si="76"/>
        <v>428.265521</v>
      </c>
      <c r="H229" s="167">
        <f t="shared" si="76"/>
        <v>0</v>
      </c>
      <c r="I229" s="167">
        <f t="shared" si="76"/>
        <v>0</v>
      </c>
      <c r="J229" s="167">
        <f t="shared" si="76"/>
        <v>0</v>
      </c>
      <c r="K229" s="167">
        <f t="shared" si="76"/>
        <v>0</v>
      </c>
      <c r="L229" s="167">
        <f t="shared" si="76"/>
        <v>0</v>
      </c>
      <c r="M229" s="167">
        <f t="shared" si="76"/>
        <v>428.265521</v>
      </c>
      <c r="N229" s="167"/>
    </row>
    <row r="230" s="1" customFormat="1" ht="26.25" customHeight="1" spans="1:14">
      <c r="A230" s="168" t="s">
        <v>1749</v>
      </c>
      <c r="B230" s="169" t="s">
        <v>1750</v>
      </c>
      <c r="C230" s="170" t="s">
        <v>1722</v>
      </c>
      <c r="D230" s="169" t="s">
        <v>1723</v>
      </c>
      <c r="E230" s="169" t="s">
        <v>1751</v>
      </c>
      <c r="F230" s="180">
        <f t="shared" ref="F230:F235" si="77">SUM(G230:H230)</f>
        <v>10.15353</v>
      </c>
      <c r="G230" s="180">
        <v>10.15353</v>
      </c>
      <c r="H230" s="180"/>
      <c r="I230" s="180"/>
      <c r="J230" s="180"/>
      <c r="K230" s="180"/>
      <c r="L230" s="180"/>
      <c r="M230" s="180">
        <f t="shared" ref="M230:M235" si="78">F230+I230+J230+K230-L230</f>
        <v>10.15353</v>
      </c>
      <c r="N230" s="180"/>
    </row>
    <row r="231" s="1" customFormat="1" ht="26.25" customHeight="1" spans="1:14">
      <c r="A231" s="168" t="s">
        <v>1749</v>
      </c>
      <c r="B231" s="169" t="s">
        <v>1750</v>
      </c>
      <c r="C231" s="170" t="s">
        <v>1722</v>
      </c>
      <c r="D231" s="169" t="s">
        <v>1723</v>
      </c>
      <c r="E231" s="169" t="s">
        <v>1752</v>
      </c>
      <c r="F231" s="180">
        <f t="shared" si="77"/>
        <v>55.8</v>
      </c>
      <c r="G231" s="180">
        <v>55.8</v>
      </c>
      <c r="H231" s="180"/>
      <c r="I231" s="180"/>
      <c r="J231" s="180"/>
      <c r="K231" s="180"/>
      <c r="L231" s="180"/>
      <c r="M231" s="180">
        <f t="shared" si="78"/>
        <v>55.8</v>
      </c>
      <c r="N231" s="180"/>
    </row>
    <row r="232" s="1" customFormat="1" ht="26.25" customHeight="1" spans="1:14">
      <c r="A232" s="168" t="s">
        <v>1749</v>
      </c>
      <c r="B232" s="169" t="s">
        <v>1750</v>
      </c>
      <c r="C232" s="170" t="s">
        <v>1722</v>
      </c>
      <c r="D232" s="169" t="s">
        <v>1723</v>
      </c>
      <c r="E232" s="169" t="s">
        <v>1753</v>
      </c>
      <c r="F232" s="180">
        <f t="shared" si="77"/>
        <v>225.634</v>
      </c>
      <c r="G232" s="180">
        <v>225.634</v>
      </c>
      <c r="H232" s="180"/>
      <c r="I232" s="180"/>
      <c r="J232" s="180"/>
      <c r="K232" s="180"/>
      <c r="L232" s="180"/>
      <c r="M232" s="180">
        <f t="shared" si="78"/>
        <v>225.634</v>
      </c>
      <c r="N232" s="180"/>
    </row>
    <row r="233" s="1" customFormat="1" ht="26.25" customHeight="1" spans="1:14">
      <c r="A233" s="168" t="s">
        <v>1749</v>
      </c>
      <c r="B233" s="169" t="s">
        <v>1750</v>
      </c>
      <c r="C233" s="170" t="s">
        <v>1722</v>
      </c>
      <c r="D233" s="169" t="s">
        <v>1723</v>
      </c>
      <c r="E233" s="169" t="s">
        <v>1754</v>
      </c>
      <c r="F233" s="180">
        <f t="shared" si="77"/>
        <v>27.07608</v>
      </c>
      <c r="G233" s="180">
        <v>27.07608</v>
      </c>
      <c r="H233" s="180"/>
      <c r="I233" s="180"/>
      <c r="J233" s="180"/>
      <c r="K233" s="180"/>
      <c r="L233" s="180"/>
      <c r="M233" s="180">
        <f t="shared" si="78"/>
        <v>27.07608</v>
      </c>
      <c r="N233" s="180"/>
    </row>
    <row r="234" s="1" customFormat="1" ht="26.25" customHeight="1" spans="1:14">
      <c r="A234" s="168" t="s">
        <v>1749</v>
      </c>
      <c r="B234" s="169" t="s">
        <v>1750</v>
      </c>
      <c r="C234" s="170" t="s">
        <v>1722</v>
      </c>
      <c r="D234" s="169" t="s">
        <v>1723</v>
      </c>
      <c r="E234" s="169" t="s">
        <v>1755</v>
      </c>
      <c r="F234" s="180">
        <f t="shared" si="77"/>
        <v>27.603895</v>
      </c>
      <c r="G234" s="180">
        <v>27.603895</v>
      </c>
      <c r="H234" s="180"/>
      <c r="I234" s="180"/>
      <c r="J234" s="180"/>
      <c r="K234" s="180"/>
      <c r="L234" s="180"/>
      <c r="M234" s="180">
        <f t="shared" si="78"/>
        <v>27.603895</v>
      </c>
      <c r="N234" s="180"/>
    </row>
    <row r="235" s="1" customFormat="1" ht="26.25" customHeight="1" spans="1:14">
      <c r="A235" s="168" t="s">
        <v>1749</v>
      </c>
      <c r="B235" s="169" t="s">
        <v>1750</v>
      </c>
      <c r="C235" s="170" t="s">
        <v>1722</v>
      </c>
      <c r="D235" s="169" t="s">
        <v>1723</v>
      </c>
      <c r="E235" s="169" t="s">
        <v>1756</v>
      </c>
      <c r="F235" s="180">
        <f t="shared" si="77"/>
        <v>81.998016</v>
      </c>
      <c r="G235" s="180">
        <v>81.998016</v>
      </c>
      <c r="H235" s="180"/>
      <c r="I235" s="180"/>
      <c r="J235" s="180"/>
      <c r="K235" s="180"/>
      <c r="L235" s="180"/>
      <c r="M235" s="180">
        <f t="shared" si="78"/>
        <v>81.998016</v>
      </c>
      <c r="N235" s="180"/>
    </row>
    <row r="236" s="1" customFormat="1" ht="26.25" customHeight="1" spans="1:14">
      <c r="A236" s="189" t="s">
        <v>1757</v>
      </c>
      <c r="B236" s="190" t="s">
        <v>1758</v>
      </c>
      <c r="C236" s="191"/>
      <c r="D236" s="192"/>
      <c r="E236" s="192"/>
      <c r="F236" s="167">
        <f t="shared" ref="F236:M236" si="79">SUM(F237:F242)</f>
        <v>124.112795</v>
      </c>
      <c r="G236" s="167">
        <f t="shared" si="79"/>
        <v>124.112795</v>
      </c>
      <c r="H236" s="167">
        <f t="shared" si="79"/>
        <v>0</v>
      </c>
      <c r="I236" s="167">
        <f t="shared" si="79"/>
        <v>0</v>
      </c>
      <c r="J236" s="167">
        <f t="shared" si="79"/>
        <v>8</v>
      </c>
      <c r="K236" s="167">
        <f t="shared" si="79"/>
        <v>0</v>
      </c>
      <c r="L236" s="167">
        <f t="shared" si="79"/>
        <v>0</v>
      </c>
      <c r="M236" s="167">
        <f t="shared" si="79"/>
        <v>132.112795</v>
      </c>
      <c r="N236" s="167"/>
    </row>
    <row r="237" s="1" customFormat="1" ht="26.25" customHeight="1" spans="1:14">
      <c r="A237" s="168" t="s">
        <v>1759</v>
      </c>
      <c r="B237" s="169" t="s">
        <v>1760</v>
      </c>
      <c r="C237" s="170" t="s">
        <v>1761</v>
      </c>
      <c r="D237" s="169" t="s">
        <v>1439</v>
      </c>
      <c r="E237" s="169" t="s">
        <v>1762</v>
      </c>
      <c r="F237" s="180">
        <f t="shared" ref="F237:F242" si="80">SUM(G237:H237)</f>
        <v>2.22</v>
      </c>
      <c r="G237" s="180">
        <v>2.22</v>
      </c>
      <c r="H237" s="180"/>
      <c r="I237" s="180"/>
      <c r="J237" s="180"/>
      <c r="K237" s="180"/>
      <c r="L237" s="180"/>
      <c r="M237" s="180">
        <f t="shared" ref="M237:M242" si="81">F237+I237+J237+K237-L237</f>
        <v>2.22</v>
      </c>
      <c r="N237" s="180"/>
    </row>
    <row r="238" s="1" customFormat="1" ht="26.25" customHeight="1" spans="1:14">
      <c r="A238" s="168" t="s">
        <v>1759</v>
      </c>
      <c r="B238" s="169" t="s">
        <v>1760</v>
      </c>
      <c r="C238" s="170" t="s">
        <v>1761</v>
      </c>
      <c r="D238" s="169" t="s">
        <v>1439</v>
      </c>
      <c r="E238" s="169" t="s">
        <v>1763</v>
      </c>
      <c r="F238" s="180">
        <f t="shared" si="80"/>
        <v>6</v>
      </c>
      <c r="G238" s="180">
        <v>6</v>
      </c>
      <c r="H238" s="180"/>
      <c r="I238" s="180"/>
      <c r="J238" s="180"/>
      <c r="K238" s="180"/>
      <c r="L238" s="180"/>
      <c r="M238" s="180">
        <f t="shared" si="81"/>
        <v>6</v>
      </c>
      <c r="N238" s="180"/>
    </row>
    <row r="239" s="1" customFormat="1" ht="26.25" customHeight="1" spans="1:14">
      <c r="A239" s="168" t="s">
        <v>1759</v>
      </c>
      <c r="B239" s="169" t="s">
        <v>1760</v>
      </c>
      <c r="C239" s="170" t="s">
        <v>1761</v>
      </c>
      <c r="D239" s="169" t="s">
        <v>1439</v>
      </c>
      <c r="E239" s="169" t="s">
        <v>1764</v>
      </c>
      <c r="F239" s="180">
        <f t="shared" si="80"/>
        <v>26.959234</v>
      </c>
      <c r="G239" s="180">
        <v>26.959234</v>
      </c>
      <c r="H239" s="180"/>
      <c r="I239" s="180"/>
      <c r="J239" s="180"/>
      <c r="K239" s="180"/>
      <c r="L239" s="180"/>
      <c r="M239" s="180">
        <f t="shared" si="81"/>
        <v>26.959234</v>
      </c>
      <c r="N239" s="180"/>
    </row>
    <row r="240" s="1" customFormat="1" ht="26.25" customHeight="1" spans="1:14">
      <c r="A240" s="168" t="s">
        <v>1759</v>
      </c>
      <c r="B240" s="169" t="s">
        <v>1760</v>
      </c>
      <c r="C240" s="170" t="s">
        <v>1761</v>
      </c>
      <c r="D240" s="169" t="s">
        <v>1439</v>
      </c>
      <c r="E240" s="169" t="s">
        <v>1765</v>
      </c>
      <c r="F240" s="180">
        <f t="shared" si="80"/>
        <v>3.520953</v>
      </c>
      <c r="G240" s="180">
        <v>3.520953</v>
      </c>
      <c r="H240" s="180"/>
      <c r="I240" s="180"/>
      <c r="J240" s="180"/>
      <c r="K240" s="180"/>
      <c r="L240" s="180"/>
      <c r="M240" s="180">
        <f t="shared" si="81"/>
        <v>3.520953</v>
      </c>
      <c r="N240" s="180"/>
    </row>
    <row r="241" s="1" customFormat="1" ht="26.25" customHeight="1" spans="1:14">
      <c r="A241" s="168" t="s">
        <v>1759</v>
      </c>
      <c r="B241" s="169" t="s">
        <v>1760</v>
      </c>
      <c r="C241" s="170" t="s">
        <v>1761</v>
      </c>
      <c r="D241" s="169" t="s">
        <v>1439</v>
      </c>
      <c r="E241" s="169" t="s">
        <v>1766</v>
      </c>
      <c r="F241" s="180">
        <f t="shared" si="80"/>
        <v>9.389208</v>
      </c>
      <c r="G241" s="180">
        <v>9.389208</v>
      </c>
      <c r="H241" s="180"/>
      <c r="I241" s="180"/>
      <c r="J241" s="180"/>
      <c r="K241" s="180"/>
      <c r="L241" s="180"/>
      <c r="M241" s="180">
        <f t="shared" si="81"/>
        <v>9.389208</v>
      </c>
      <c r="N241" s="180"/>
    </row>
    <row r="242" s="1" customFormat="1" ht="26.25" customHeight="1" spans="1:14">
      <c r="A242" s="168" t="s">
        <v>1759</v>
      </c>
      <c r="B242" s="169" t="s">
        <v>1760</v>
      </c>
      <c r="C242" s="170" t="s">
        <v>1761</v>
      </c>
      <c r="D242" s="169" t="s">
        <v>1439</v>
      </c>
      <c r="E242" s="169" t="s">
        <v>1767</v>
      </c>
      <c r="F242" s="180">
        <f t="shared" si="80"/>
        <v>76.0234</v>
      </c>
      <c r="G242" s="180">
        <v>76.0234</v>
      </c>
      <c r="H242" s="180"/>
      <c r="I242" s="180"/>
      <c r="J242" s="180">
        <v>8</v>
      </c>
      <c r="K242" s="180"/>
      <c r="L242" s="180"/>
      <c r="M242" s="180">
        <f t="shared" si="81"/>
        <v>84.0234</v>
      </c>
      <c r="N242" s="180"/>
    </row>
    <row r="243" s="1" customFormat="1" ht="26.25" customHeight="1" spans="1:14">
      <c r="A243" s="189" t="s">
        <v>1768</v>
      </c>
      <c r="B243" s="190" t="s">
        <v>1769</v>
      </c>
      <c r="C243" s="191"/>
      <c r="D243" s="192"/>
      <c r="E243" s="192"/>
      <c r="F243" s="167">
        <f t="shared" ref="F243:M243" si="82">SUM(F244:F252)</f>
        <v>348.189188</v>
      </c>
      <c r="G243" s="167">
        <f t="shared" si="82"/>
        <v>348.189188</v>
      </c>
      <c r="H243" s="167">
        <f t="shared" si="82"/>
        <v>0</v>
      </c>
      <c r="I243" s="167">
        <f t="shared" si="82"/>
        <v>0</v>
      </c>
      <c r="J243" s="167">
        <f t="shared" si="82"/>
        <v>0</v>
      </c>
      <c r="K243" s="167">
        <f t="shared" si="82"/>
        <v>0</v>
      </c>
      <c r="L243" s="167">
        <f t="shared" si="82"/>
        <v>0</v>
      </c>
      <c r="M243" s="167">
        <f t="shared" si="82"/>
        <v>348.189188</v>
      </c>
      <c r="N243" s="167"/>
    </row>
    <row r="244" s="1" customFormat="1" ht="26.25" customHeight="1" spans="1:14">
      <c r="A244" s="168" t="s">
        <v>1770</v>
      </c>
      <c r="B244" s="169" t="s">
        <v>1771</v>
      </c>
      <c r="C244" s="170" t="s">
        <v>1772</v>
      </c>
      <c r="D244" s="169" t="s">
        <v>1439</v>
      </c>
      <c r="E244" s="169" t="s">
        <v>1773</v>
      </c>
      <c r="F244" s="180">
        <f t="shared" ref="F244:F252" si="83">SUM(G244:H244)</f>
        <v>61.5324</v>
      </c>
      <c r="G244" s="180">
        <v>61.5324</v>
      </c>
      <c r="H244" s="180"/>
      <c r="I244" s="180"/>
      <c r="J244" s="180"/>
      <c r="K244" s="180"/>
      <c r="L244" s="180"/>
      <c r="M244" s="180">
        <f t="shared" ref="M244:M252" si="84">F244+I244+J244+K244-L244</f>
        <v>61.5324</v>
      </c>
      <c r="N244" s="180"/>
    </row>
    <row r="245" s="1" customFormat="1" ht="26.25" customHeight="1" spans="1:14">
      <c r="A245" s="168" t="s">
        <v>1770</v>
      </c>
      <c r="B245" s="169" t="s">
        <v>1771</v>
      </c>
      <c r="C245" s="170" t="s">
        <v>1772</v>
      </c>
      <c r="D245" s="169" t="s">
        <v>1439</v>
      </c>
      <c r="E245" s="169" t="s">
        <v>1774</v>
      </c>
      <c r="F245" s="180">
        <f t="shared" si="83"/>
        <v>60.778723</v>
      </c>
      <c r="G245" s="180">
        <v>60.778723</v>
      </c>
      <c r="H245" s="180"/>
      <c r="I245" s="180"/>
      <c r="J245" s="180"/>
      <c r="K245" s="180"/>
      <c r="L245" s="180"/>
      <c r="M245" s="180">
        <f t="shared" si="84"/>
        <v>60.778723</v>
      </c>
      <c r="N245" s="180"/>
    </row>
    <row r="246" s="1" customFormat="1" ht="26.25" customHeight="1" spans="1:14">
      <c r="A246" s="168" t="s">
        <v>1770</v>
      </c>
      <c r="B246" s="169" t="s">
        <v>1771</v>
      </c>
      <c r="C246" s="170" t="s">
        <v>1772</v>
      </c>
      <c r="D246" s="169" t="s">
        <v>1439</v>
      </c>
      <c r="E246" s="169" t="s">
        <v>1775</v>
      </c>
      <c r="F246" s="180">
        <f t="shared" si="83"/>
        <v>7.85651</v>
      </c>
      <c r="G246" s="180">
        <v>7.85651</v>
      </c>
      <c r="H246" s="180"/>
      <c r="I246" s="180"/>
      <c r="J246" s="180"/>
      <c r="K246" s="180"/>
      <c r="L246" s="180"/>
      <c r="M246" s="180">
        <f t="shared" si="84"/>
        <v>7.85651</v>
      </c>
      <c r="N246" s="180"/>
    </row>
    <row r="247" s="1" customFormat="1" ht="26.25" customHeight="1" spans="1:14">
      <c r="A247" s="168" t="s">
        <v>1770</v>
      </c>
      <c r="B247" s="169" t="s">
        <v>1771</v>
      </c>
      <c r="C247" s="170" t="s">
        <v>1772</v>
      </c>
      <c r="D247" s="169" t="s">
        <v>1439</v>
      </c>
      <c r="E247" s="169" t="s">
        <v>1776</v>
      </c>
      <c r="F247" s="180">
        <f t="shared" si="83"/>
        <v>7.821763</v>
      </c>
      <c r="G247" s="180">
        <v>7.821763</v>
      </c>
      <c r="H247" s="180"/>
      <c r="I247" s="180"/>
      <c r="J247" s="180"/>
      <c r="K247" s="180"/>
      <c r="L247" s="180"/>
      <c r="M247" s="180">
        <f t="shared" si="84"/>
        <v>7.821763</v>
      </c>
      <c r="N247" s="180"/>
    </row>
    <row r="248" s="1" customFormat="1" ht="26.25" customHeight="1" spans="1:14">
      <c r="A248" s="168" t="s">
        <v>1770</v>
      </c>
      <c r="B248" s="169" t="s">
        <v>1771</v>
      </c>
      <c r="C248" s="170" t="s">
        <v>1772</v>
      </c>
      <c r="D248" s="169" t="s">
        <v>1439</v>
      </c>
      <c r="E248" s="169" t="s">
        <v>1777</v>
      </c>
      <c r="F248" s="180">
        <f t="shared" si="83"/>
        <v>20.950692</v>
      </c>
      <c r="G248" s="180">
        <v>20.950692</v>
      </c>
      <c r="H248" s="180"/>
      <c r="I248" s="180"/>
      <c r="J248" s="180"/>
      <c r="K248" s="180"/>
      <c r="L248" s="180"/>
      <c r="M248" s="180">
        <f t="shared" si="84"/>
        <v>20.950692</v>
      </c>
      <c r="N248" s="180"/>
    </row>
    <row r="249" s="1" customFormat="1" ht="26.25" customHeight="1" spans="1:14">
      <c r="A249" s="168" t="s">
        <v>1770</v>
      </c>
      <c r="B249" s="169" t="s">
        <v>1771</v>
      </c>
      <c r="C249" s="170" t="s">
        <v>1772</v>
      </c>
      <c r="D249" s="169" t="s">
        <v>1439</v>
      </c>
      <c r="E249" s="169" t="s">
        <v>1778</v>
      </c>
      <c r="F249" s="180">
        <f t="shared" si="83"/>
        <v>2.88</v>
      </c>
      <c r="G249" s="180">
        <v>2.88</v>
      </c>
      <c r="H249" s="180"/>
      <c r="I249" s="180"/>
      <c r="J249" s="180"/>
      <c r="K249" s="180"/>
      <c r="L249" s="180"/>
      <c r="M249" s="180">
        <f t="shared" si="84"/>
        <v>2.88</v>
      </c>
      <c r="N249" s="180"/>
    </row>
    <row r="250" s="1" customFormat="1" ht="26.25" customHeight="1" spans="1:14">
      <c r="A250" s="168" t="s">
        <v>1770</v>
      </c>
      <c r="B250" s="169" t="s">
        <v>1771</v>
      </c>
      <c r="C250" s="170" t="s">
        <v>1772</v>
      </c>
      <c r="D250" s="169" t="s">
        <v>1439</v>
      </c>
      <c r="E250" s="169" t="s">
        <v>1779</v>
      </c>
      <c r="F250" s="180">
        <f t="shared" si="83"/>
        <v>171.7091</v>
      </c>
      <c r="G250" s="180">
        <v>171.7091</v>
      </c>
      <c r="H250" s="180"/>
      <c r="I250" s="180"/>
      <c r="J250" s="180"/>
      <c r="K250" s="180"/>
      <c r="L250" s="180"/>
      <c r="M250" s="180">
        <f t="shared" si="84"/>
        <v>171.7091</v>
      </c>
      <c r="N250" s="180"/>
    </row>
    <row r="251" s="1" customFormat="1" ht="26.25" customHeight="1" spans="1:14">
      <c r="A251" s="168" t="s">
        <v>1770</v>
      </c>
      <c r="B251" s="169" t="s">
        <v>1771</v>
      </c>
      <c r="C251" s="170" t="s">
        <v>1772</v>
      </c>
      <c r="D251" s="169" t="s">
        <v>1439</v>
      </c>
      <c r="E251" s="169" t="s">
        <v>1780</v>
      </c>
      <c r="F251" s="180">
        <f t="shared" si="83"/>
        <v>13</v>
      </c>
      <c r="G251" s="180">
        <v>13</v>
      </c>
      <c r="H251" s="180"/>
      <c r="I251" s="180"/>
      <c r="J251" s="180"/>
      <c r="K251" s="180"/>
      <c r="L251" s="180"/>
      <c r="M251" s="180">
        <f t="shared" si="84"/>
        <v>13</v>
      </c>
      <c r="N251" s="180"/>
    </row>
    <row r="252" s="1" customFormat="1" ht="26.25" customHeight="1" spans="1:14">
      <c r="A252" s="168" t="s">
        <v>1770</v>
      </c>
      <c r="B252" s="169" t="s">
        <v>1771</v>
      </c>
      <c r="C252" s="170" t="s">
        <v>1772</v>
      </c>
      <c r="D252" s="169" t="s">
        <v>1439</v>
      </c>
      <c r="E252" s="169" t="s">
        <v>1781</v>
      </c>
      <c r="F252" s="180">
        <f t="shared" si="83"/>
        <v>1.66</v>
      </c>
      <c r="G252" s="180">
        <v>1.66</v>
      </c>
      <c r="H252" s="180"/>
      <c r="I252" s="180"/>
      <c r="J252" s="180"/>
      <c r="K252" s="180"/>
      <c r="L252" s="180"/>
      <c r="M252" s="180">
        <f t="shared" si="84"/>
        <v>1.66</v>
      </c>
      <c r="N252" s="180"/>
    </row>
    <row r="253" s="1" customFormat="1" ht="26.25" customHeight="1" spans="1:14">
      <c r="A253" s="189" t="s">
        <v>1782</v>
      </c>
      <c r="B253" s="190" t="s">
        <v>1332</v>
      </c>
      <c r="C253" s="191"/>
      <c r="D253" s="192"/>
      <c r="E253" s="192"/>
      <c r="F253" s="167">
        <f t="shared" ref="F253:M253" si="85">SUM(F254:F260)</f>
        <v>1860.277336</v>
      </c>
      <c r="G253" s="167">
        <f t="shared" si="85"/>
        <v>1860.277336</v>
      </c>
      <c r="H253" s="167">
        <f t="shared" si="85"/>
        <v>0</v>
      </c>
      <c r="I253" s="167">
        <f t="shared" si="85"/>
        <v>0</v>
      </c>
      <c r="J253" s="167">
        <f t="shared" si="85"/>
        <v>0</v>
      </c>
      <c r="K253" s="167">
        <f t="shared" si="85"/>
        <v>0</v>
      </c>
      <c r="L253" s="167">
        <f t="shared" si="85"/>
        <v>30</v>
      </c>
      <c r="M253" s="167">
        <f t="shared" si="85"/>
        <v>1830.277336</v>
      </c>
      <c r="N253" s="167"/>
    </row>
    <row r="254" s="1" customFormat="1" ht="26.25" customHeight="1" spans="1:14">
      <c r="A254" s="168" t="s">
        <v>1783</v>
      </c>
      <c r="B254" s="169" t="s">
        <v>1784</v>
      </c>
      <c r="C254" s="170" t="s">
        <v>1785</v>
      </c>
      <c r="D254" s="169" t="s">
        <v>1786</v>
      </c>
      <c r="E254" s="169" t="s">
        <v>1787</v>
      </c>
      <c r="F254" s="180">
        <f t="shared" ref="F254:F260" si="86">SUM(G254:H254)</f>
        <v>1193.2417</v>
      </c>
      <c r="G254" s="180">
        <v>1193.2417</v>
      </c>
      <c r="H254" s="180"/>
      <c r="I254" s="180"/>
      <c r="J254" s="180"/>
      <c r="K254" s="180"/>
      <c r="L254" s="180">
        <v>30</v>
      </c>
      <c r="M254" s="180">
        <f t="shared" ref="M254:M260" si="87">F254+I254+J254+K254-L254</f>
        <v>1163.2417</v>
      </c>
      <c r="N254" s="180"/>
    </row>
    <row r="255" s="1" customFormat="1" ht="26.25" customHeight="1" spans="1:14">
      <c r="A255" s="168" t="s">
        <v>1783</v>
      </c>
      <c r="B255" s="169" t="s">
        <v>1784</v>
      </c>
      <c r="C255" s="170" t="s">
        <v>1785</v>
      </c>
      <c r="D255" s="169" t="s">
        <v>1786</v>
      </c>
      <c r="E255" s="169" t="s">
        <v>1788</v>
      </c>
      <c r="F255" s="180">
        <f t="shared" si="86"/>
        <v>28</v>
      </c>
      <c r="G255" s="180">
        <v>28</v>
      </c>
      <c r="H255" s="180"/>
      <c r="I255" s="180"/>
      <c r="J255" s="180"/>
      <c r="K255" s="180"/>
      <c r="L255" s="180"/>
      <c r="M255" s="180">
        <f t="shared" si="87"/>
        <v>28</v>
      </c>
      <c r="N255" s="180"/>
    </row>
    <row r="256" s="1" customFormat="1" ht="26.25" customHeight="1" spans="1:14">
      <c r="A256" s="168" t="s">
        <v>1783</v>
      </c>
      <c r="B256" s="169" t="s">
        <v>1784</v>
      </c>
      <c r="C256" s="170" t="s">
        <v>1785</v>
      </c>
      <c r="D256" s="169" t="s">
        <v>1786</v>
      </c>
      <c r="E256" s="169" t="s">
        <v>1789</v>
      </c>
      <c r="F256" s="180">
        <f t="shared" si="86"/>
        <v>431.655417</v>
      </c>
      <c r="G256" s="180">
        <v>431.655417</v>
      </c>
      <c r="H256" s="180"/>
      <c r="I256" s="180"/>
      <c r="J256" s="180"/>
      <c r="K256" s="180"/>
      <c r="L256" s="180"/>
      <c r="M256" s="180">
        <f t="shared" si="87"/>
        <v>431.655417</v>
      </c>
      <c r="N256" s="180"/>
    </row>
    <row r="257" s="1" customFormat="1" ht="26.25" customHeight="1" spans="1:14">
      <c r="A257" s="168" t="s">
        <v>1783</v>
      </c>
      <c r="B257" s="169" t="s">
        <v>1784</v>
      </c>
      <c r="C257" s="170" t="s">
        <v>1785</v>
      </c>
      <c r="D257" s="169" t="s">
        <v>1786</v>
      </c>
      <c r="E257" s="169" t="s">
        <v>1790</v>
      </c>
      <c r="F257" s="180">
        <f t="shared" si="86"/>
        <v>8.975338</v>
      </c>
      <c r="G257" s="180">
        <v>8.975338</v>
      </c>
      <c r="H257" s="180"/>
      <c r="I257" s="180"/>
      <c r="J257" s="180"/>
      <c r="K257" s="180"/>
      <c r="L257" s="180"/>
      <c r="M257" s="180">
        <f t="shared" si="87"/>
        <v>8.975338</v>
      </c>
      <c r="N257" s="180"/>
    </row>
    <row r="258" s="1" customFormat="1" ht="26.25" customHeight="1" spans="1:14">
      <c r="A258" s="168" t="s">
        <v>1783</v>
      </c>
      <c r="B258" s="169" t="s">
        <v>1784</v>
      </c>
      <c r="C258" s="170" t="s">
        <v>1785</v>
      </c>
      <c r="D258" s="169" t="s">
        <v>1786</v>
      </c>
      <c r="E258" s="169" t="s">
        <v>1791</v>
      </c>
      <c r="F258" s="180">
        <f t="shared" si="86"/>
        <v>1.52</v>
      </c>
      <c r="G258" s="180">
        <v>1.52</v>
      </c>
      <c r="H258" s="180"/>
      <c r="I258" s="180"/>
      <c r="J258" s="180"/>
      <c r="K258" s="180"/>
      <c r="L258" s="180"/>
      <c r="M258" s="180">
        <f t="shared" si="87"/>
        <v>1.52</v>
      </c>
      <c r="N258" s="180"/>
    </row>
    <row r="259" s="1" customFormat="1" ht="26.25" customHeight="1" spans="1:14">
      <c r="A259" s="168" t="s">
        <v>1783</v>
      </c>
      <c r="B259" s="169" t="s">
        <v>1784</v>
      </c>
      <c r="C259" s="170" t="s">
        <v>1785</v>
      </c>
      <c r="D259" s="169" t="s">
        <v>1786</v>
      </c>
      <c r="E259" s="169" t="s">
        <v>1792</v>
      </c>
      <c r="F259" s="180">
        <f t="shared" si="86"/>
        <v>53.695877</v>
      </c>
      <c r="G259" s="180">
        <v>53.695877</v>
      </c>
      <c r="H259" s="180"/>
      <c r="I259" s="180"/>
      <c r="J259" s="180"/>
      <c r="K259" s="180"/>
      <c r="L259" s="180"/>
      <c r="M259" s="180">
        <f t="shared" si="87"/>
        <v>53.695877</v>
      </c>
      <c r="N259" s="180"/>
    </row>
    <row r="260" s="1" customFormat="1" ht="26.25" customHeight="1" spans="1:14">
      <c r="A260" s="168" t="s">
        <v>1783</v>
      </c>
      <c r="B260" s="169" t="s">
        <v>1784</v>
      </c>
      <c r="C260" s="170" t="s">
        <v>1785</v>
      </c>
      <c r="D260" s="169" t="s">
        <v>1786</v>
      </c>
      <c r="E260" s="169" t="s">
        <v>1793</v>
      </c>
      <c r="F260" s="180">
        <f t="shared" si="86"/>
        <v>143.189004</v>
      </c>
      <c r="G260" s="180">
        <v>143.189004</v>
      </c>
      <c r="H260" s="180"/>
      <c r="I260" s="180"/>
      <c r="J260" s="180"/>
      <c r="K260" s="180"/>
      <c r="L260" s="180"/>
      <c r="M260" s="180">
        <f t="shared" si="87"/>
        <v>143.189004</v>
      </c>
      <c r="N260" s="180"/>
    </row>
    <row r="261" s="1" customFormat="1" ht="26.25" customHeight="1" spans="1:14">
      <c r="A261" s="189" t="s">
        <v>1794</v>
      </c>
      <c r="B261" s="190" t="s">
        <v>1334</v>
      </c>
      <c r="C261" s="191"/>
      <c r="D261" s="192"/>
      <c r="E261" s="192"/>
      <c r="F261" s="167">
        <f t="shared" ref="F261:M261" si="88">SUM(F262:F268)</f>
        <v>1560.307441</v>
      </c>
      <c r="G261" s="167">
        <f t="shared" si="88"/>
        <v>1560.307441</v>
      </c>
      <c r="H261" s="167">
        <f t="shared" si="88"/>
        <v>0</v>
      </c>
      <c r="I261" s="167">
        <f t="shared" si="88"/>
        <v>0</v>
      </c>
      <c r="J261" s="167">
        <f t="shared" si="88"/>
        <v>0</v>
      </c>
      <c r="K261" s="167">
        <f t="shared" si="88"/>
        <v>0</v>
      </c>
      <c r="L261" s="167">
        <f t="shared" si="88"/>
        <v>80</v>
      </c>
      <c r="M261" s="167">
        <f t="shared" si="88"/>
        <v>1480.307441</v>
      </c>
      <c r="N261" s="167"/>
    </row>
    <row r="262" s="1" customFormat="1" ht="26.25" customHeight="1" spans="1:14">
      <c r="A262" s="168" t="s">
        <v>1795</v>
      </c>
      <c r="B262" s="169" t="s">
        <v>1796</v>
      </c>
      <c r="C262" s="170" t="s">
        <v>1785</v>
      </c>
      <c r="D262" s="169" t="s">
        <v>1786</v>
      </c>
      <c r="E262" s="169" t="s">
        <v>1797</v>
      </c>
      <c r="F262" s="180">
        <f t="shared" ref="F262:F268" si="89">SUM(G262:H262)</f>
        <v>44.833442</v>
      </c>
      <c r="G262" s="180">
        <v>44.833442</v>
      </c>
      <c r="H262" s="180"/>
      <c r="I262" s="180"/>
      <c r="J262" s="180"/>
      <c r="K262" s="180"/>
      <c r="L262" s="180"/>
      <c r="M262" s="180">
        <f t="shared" ref="M262:M268" si="90">F262+I262+J262+K262-L262</f>
        <v>44.833442</v>
      </c>
      <c r="N262" s="180"/>
    </row>
    <row r="263" s="1" customFormat="1" ht="26.25" customHeight="1" spans="1:14">
      <c r="A263" s="168" t="s">
        <v>1795</v>
      </c>
      <c r="B263" s="169" t="s">
        <v>1796</v>
      </c>
      <c r="C263" s="170" t="s">
        <v>1785</v>
      </c>
      <c r="D263" s="169" t="s">
        <v>1786</v>
      </c>
      <c r="E263" s="169" t="s">
        <v>1798</v>
      </c>
      <c r="F263" s="180">
        <f t="shared" si="89"/>
        <v>28</v>
      </c>
      <c r="G263" s="180">
        <v>28</v>
      </c>
      <c r="H263" s="180"/>
      <c r="I263" s="180"/>
      <c r="J263" s="180"/>
      <c r="K263" s="180"/>
      <c r="L263" s="180"/>
      <c r="M263" s="180">
        <f t="shared" si="90"/>
        <v>28</v>
      </c>
      <c r="N263" s="180"/>
    </row>
    <row r="264" s="1" customFormat="1" ht="26.25" customHeight="1" spans="1:14">
      <c r="A264" s="168" t="s">
        <v>1795</v>
      </c>
      <c r="B264" s="169" t="s">
        <v>1796</v>
      </c>
      <c r="C264" s="170" t="s">
        <v>1785</v>
      </c>
      <c r="D264" s="169" t="s">
        <v>1786</v>
      </c>
      <c r="E264" s="169" t="s">
        <v>1799</v>
      </c>
      <c r="F264" s="180">
        <f t="shared" si="89"/>
        <v>996.2987</v>
      </c>
      <c r="G264" s="180">
        <v>996.2987</v>
      </c>
      <c r="H264" s="180"/>
      <c r="I264" s="180"/>
      <c r="J264" s="180"/>
      <c r="K264" s="180"/>
      <c r="L264" s="180">
        <v>80</v>
      </c>
      <c r="M264" s="180">
        <f t="shared" si="90"/>
        <v>916.2987</v>
      </c>
      <c r="N264" s="180"/>
    </row>
    <row r="265" s="1" customFormat="1" ht="26.25" customHeight="1" spans="1:14">
      <c r="A265" s="168" t="s">
        <v>1795</v>
      </c>
      <c r="B265" s="169" t="s">
        <v>1796</v>
      </c>
      <c r="C265" s="170" t="s">
        <v>1785</v>
      </c>
      <c r="D265" s="169" t="s">
        <v>1786</v>
      </c>
      <c r="E265" s="169" t="s">
        <v>1800</v>
      </c>
      <c r="F265" s="180">
        <f t="shared" si="89"/>
        <v>360.594626</v>
      </c>
      <c r="G265" s="180">
        <v>360.594626</v>
      </c>
      <c r="H265" s="180"/>
      <c r="I265" s="180"/>
      <c r="J265" s="180"/>
      <c r="K265" s="180"/>
      <c r="L265" s="180"/>
      <c r="M265" s="180">
        <f t="shared" si="90"/>
        <v>360.594626</v>
      </c>
      <c r="N265" s="180"/>
    </row>
    <row r="266" s="1" customFormat="1" ht="26.25" customHeight="1" spans="1:14">
      <c r="A266" s="168" t="s">
        <v>1795</v>
      </c>
      <c r="B266" s="169" t="s">
        <v>1796</v>
      </c>
      <c r="C266" s="170" t="s">
        <v>1785</v>
      </c>
      <c r="D266" s="169" t="s">
        <v>1786</v>
      </c>
      <c r="E266" s="169" t="s">
        <v>1801</v>
      </c>
      <c r="F266" s="180">
        <f t="shared" si="89"/>
        <v>119.555844</v>
      </c>
      <c r="G266" s="180">
        <v>119.555844</v>
      </c>
      <c r="H266" s="180"/>
      <c r="I266" s="180"/>
      <c r="J266" s="180"/>
      <c r="K266" s="180"/>
      <c r="L266" s="180"/>
      <c r="M266" s="180">
        <f t="shared" si="90"/>
        <v>119.555844</v>
      </c>
      <c r="N266" s="180"/>
    </row>
    <row r="267" s="1" customFormat="1" ht="26.25" customHeight="1" spans="1:14">
      <c r="A267" s="168" t="s">
        <v>1795</v>
      </c>
      <c r="B267" s="169" t="s">
        <v>1796</v>
      </c>
      <c r="C267" s="170" t="s">
        <v>1785</v>
      </c>
      <c r="D267" s="169" t="s">
        <v>1786</v>
      </c>
      <c r="E267" s="169" t="s">
        <v>1802</v>
      </c>
      <c r="F267" s="180">
        <f t="shared" si="89"/>
        <v>9.624829</v>
      </c>
      <c r="G267" s="180">
        <v>9.624829</v>
      </c>
      <c r="H267" s="180"/>
      <c r="I267" s="180"/>
      <c r="J267" s="180"/>
      <c r="K267" s="180"/>
      <c r="L267" s="180"/>
      <c r="M267" s="180">
        <f t="shared" si="90"/>
        <v>9.624829</v>
      </c>
      <c r="N267" s="180"/>
    </row>
    <row r="268" s="1" customFormat="1" ht="26.25" customHeight="1" spans="1:14">
      <c r="A268" s="168" t="s">
        <v>1795</v>
      </c>
      <c r="B268" s="169" t="s">
        <v>1796</v>
      </c>
      <c r="C268" s="170" t="s">
        <v>1785</v>
      </c>
      <c r="D268" s="169" t="s">
        <v>1786</v>
      </c>
      <c r="E268" s="169" t="s">
        <v>1803</v>
      </c>
      <c r="F268" s="180">
        <f t="shared" si="89"/>
        <v>1.4</v>
      </c>
      <c r="G268" s="180">
        <v>1.4</v>
      </c>
      <c r="H268" s="180"/>
      <c r="I268" s="180"/>
      <c r="J268" s="180"/>
      <c r="K268" s="180"/>
      <c r="L268" s="180"/>
      <c r="M268" s="180">
        <f t="shared" si="90"/>
        <v>1.4</v>
      </c>
      <c r="N268" s="180"/>
    </row>
    <row r="269" s="1" customFormat="1" ht="26.25" customHeight="1" spans="1:14">
      <c r="A269" s="189" t="s">
        <v>1804</v>
      </c>
      <c r="B269" s="190" t="s">
        <v>1336</v>
      </c>
      <c r="C269" s="191"/>
      <c r="D269" s="192"/>
      <c r="E269" s="192"/>
      <c r="F269" s="167">
        <f t="shared" ref="F269:M269" si="91">SUM(F270:F276)</f>
        <v>1793.444847</v>
      </c>
      <c r="G269" s="167">
        <f t="shared" si="91"/>
        <v>1793.444847</v>
      </c>
      <c r="H269" s="167">
        <f t="shared" si="91"/>
        <v>0</v>
      </c>
      <c r="I269" s="167">
        <f t="shared" si="91"/>
        <v>0</v>
      </c>
      <c r="J269" s="167">
        <f t="shared" si="91"/>
        <v>0</v>
      </c>
      <c r="K269" s="167">
        <f t="shared" si="91"/>
        <v>0</v>
      </c>
      <c r="L269" s="167">
        <f t="shared" si="91"/>
        <v>100</v>
      </c>
      <c r="M269" s="167">
        <f t="shared" si="91"/>
        <v>1693.444847</v>
      </c>
      <c r="N269" s="167"/>
    </row>
    <row r="270" s="1" customFormat="1" ht="26.25" customHeight="1" spans="1:14">
      <c r="A270" s="168" t="s">
        <v>1805</v>
      </c>
      <c r="B270" s="169" t="s">
        <v>1806</v>
      </c>
      <c r="C270" s="170" t="s">
        <v>1785</v>
      </c>
      <c r="D270" s="169" t="s">
        <v>1786</v>
      </c>
      <c r="E270" s="169" t="s">
        <v>1807</v>
      </c>
      <c r="F270" s="180">
        <f t="shared" ref="F270:F276" si="92">SUM(G270:H270)</f>
        <v>1136.8389</v>
      </c>
      <c r="G270" s="180">
        <v>1136.8389</v>
      </c>
      <c r="H270" s="180"/>
      <c r="I270" s="180"/>
      <c r="J270" s="180"/>
      <c r="K270" s="180"/>
      <c r="L270" s="180">
        <v>100</v>
      </c>
      <c r="M270" s="180">
        <f t="shared" ref="M270:M276" si="93">F270+I270+J270+K270-L270</f>
        <v>1036.8389</v>
      </c>
      <c r="N270" s="180"/>
    </row>
    <row r="271" s="1" customFormat="1" ht="26.25" customHeight="1" spans="1:14">
      <c r="A271" s="168" t="s">
        <v>1805</v>
      </c>
      <c r="B271" s="169" t="s">
        <v>1806</v>
      </c>
      <c r="C271" s="170" t="s">
        <v>1785</v>
      </c>
      <c r="D271" s="169" t="s">
        <v>1786</v>
      </c>
      <c r="E271" s="169" t="s">
        <v>1808</v>
      </c>
      <c r="F271" s="180">
        <f t="shared" si="92"/>
        <v>136.420668</v>
      </c>
      <c r="G271" s="180">
        <v>136.420668</v>
      </c>
      <c r="H271" s="180"/>
      <c r="I271" s="180"/>
      <c r="J271" s="180"/>
      <c r="K271" s="180"/>
      <c r="L271" s="180"/>
      <c r="M271" s="180">
        <f t="shared" si="93"/>
        <v>136.420668</v>
      </c>
      <c r="N271" s="180"/>
    </row>
    <row r="272" s="1" customFormat="1" ht="26.25" customHeight="1" spans="1:14">
      <c r="A272" s="168" t="s">
        <v>1805</v>
      </c>
      <c r="B272" s="169" t="s">
        <v>1806</v>
      </c>
      <c r="C272" s="170" t="s">
        <v>1785</v>
      </c>
      <c r="D272" s="169" t="s">
        <v>1786</v>
      </c>
      <c r="E272" s="169" t="s">
        <v>1809</v>
      </c>
      <c r="F272" s="180">
        <f t="shared" si="92"/>
        <v>8.729791</v>
      </c>
      <c r="G272" s="180">
        <v>8.729791</v>
      </c>
      <c r="H272" s="180"/>
      <c r="I272" s="180"/>
      <c r="J272" s="180"/>
      <c r="K272" s="180"/>
      <c r="L272" s="180"/>
      <c r="M272" s="180">
        <f t="shared" si="93"/>
        <v>8.729791</v>
      </c>
      <c r="N272" s="180"/>
    </row>
    <row r="273" s="1" customFormat="1" ht="26.25" customHeight="1" spans="1:14">
      <c r="A273" s="168" t="s">
        <v>1805</v>
      </c>
      <c r="B273" s="169" t="s">
        <v>1806</v>
      </c>
      <c r="C273" s="170" t="s">
        <v>1785</v>
      </c>
      <c r="D273" s="169" t="s">
        <v>1786</v>
      </c>
      <c r="E273" s="169" t="s">
        <v>1810</v>
      </c>
      <c r="F273" s="180">
        <f t="shared" si="92"/>
        <v>2.3</v>
      </c>
      <c r="G273" s="180">
        <v>2.3</v>
      </c>
      <c r="H273" s="180"/>
      <c r="I273" s="180"/>
      <c r="J273" s="180"/>
      <c r="K273" s="180"/>
      <c r="L273" s="180"/>
      <c r="M273" s="180">
        <f t="shared" si="93"/>
        <v>2.3</v>
      </c>
      <c r="N273" s="180"/>
    </row>
    <row r="274" s="1" customFormat="1" ht="26.25" customHeight="1" spans="1:14">
      <c r="A274" s="168" t="s">
        <v>1805</v>
      </c>
      <c r="B274" s="169" t="s">
        <v>1806</v>
      </c>
      <c r="C274" s="170" t="s">
        <v>1785</v>
      </c>
      <c r="D274" s="169" t="s">
        <v>1786</v>
      </c>
      <c r="E274" s="169" t="s">
        <v>1811</v>
      </c>
      <c r="F274" s="180">
        <f t="shared" si="92"/>
        <v>51.157751</v>
      </c>
      <c r="G274" s="180">
        <v>51.157751</v>
      </c>
      <c r="H274" s="180"/>
      <c r="I274" s="180"/>
      <c r="J274" s="180"/>
      <c r="K274" s="180"/>
      <c r="L274" s="180"/>
      <c r="M274" s="180">
        <f t="shared" si="93"/>
        <v>51.157751</v>
      </c>
      <c r="N274" s="180"/>
    </row>
    <row r="275" s="1" customFormat="1" ht="26.25" customHeight="1" spans="1:14">
      <c r="A275" s="168" t="s">
        <v>1805</v>
      </c>
      <c r="B275" s="169" t="s">
        <v>1806</v>
      </c>
      <c r="C275" s="170" t="s">
        <v>1785</v>
      </c>
      <c r="D275" s="169" t="s">
        <v>1786</v>
      </c>
      <c r="E275" s="169" t="s">
        <v>1812</v>
      </c>
      <c r="F275" s="180">
        <f t="shared" si="92"/>
        <v>411.997737</v>
      </c>
      <c r="G275" s="180">
        <v>411.997737</v>
      </c>
      <c r="H275" s="180"/>
      <c r="I275" s="180"/>
      <c r="J275" s="180"/>
      <c r="K275" s="180"/>
      <c r="L275" s="180"/>
      <c r="M275" s="180">
        <f t="shared" si="93"/>
        <v>411.997737</v>
      </c>
      <c r="N275" s="180"/>
    </row>
    <row r="276" s="1" customFormat="1" ht="26.25" customHeight="1" spans="1:14">
      <c r="A276" s="168" t="s">
        <v>1805</v>
      </c>
      <c r="B276" s="169" t="s">
        <v>1806</v>
      </c>
      <c r="C276" s="170" t="s">
        <v>1785</v>
      </c>
      <c r="D276" s="169" t="s">
        <v>1786</v>
      </c>
      <c r="E276" s="169" t="s">
        <v>1813</v>
      </c>
      <c r="F276" s="180">
        <f t="shared" si="92"/>
        <v>46</v>
      </c>
      <c r="G276" s="180">
        <v>46</v>
      </c>
      <c r="H276" s="180"/>
      <c r="I276" s="180"/>
      <c r="J276" s="180"/>
      <c r="K276" s="180"/>
      <c r="L276" s="180"/>
      <c r="M276" s="180">
        <f t="shared" si="93"/>
        <v>46</v>
      </c>
      <c r="N276" s="180"/>
    </row>
    <row r="277" s="1" customFormat="1" ht="26.25" customHeight="1" spans="1:14">
      <c r="A277" s="189" t="s">
        <v>1814</v>
      </c>
      <c r="B277" s="190" t="s">
        <v>1338</v>
      </c>
      <c r="C277" s="191"/>
      <c r="D277" s="192"/>
      <c r="E277" s="192"/>
      <c r="F277" s="167">
        <f t="shared" ref="F277:M277" si="94">SUM(F278:F284)</f>
        <v>692.201831</v>
      </c>
      <c r="G277" s="167">
        <f t="shared" si="94"/>
        <v>692.201831</v>
      </c>
      <c r="H277" s="167">
        <f t="shared" si="94"/>
        <v>0</v>
      </c>
      <c r="I277" s="167">
        <f t="shared" si="94"/>
        <v>0</v>
      </c>
      <c r="J277" s="167">
        <f t="shared" si="94"/>
        <v>0</v>
      </c>
      <c r="K277" s="167">
        <f t="shared" si="94"/>
        <v>0</v>
      </c>
      <c r="L277" s="167">
        <f t="shared" si="94"/>
        <v>0</v>
      </c>
      <c r="M277" s="167">
        <f t="shared" si="94"/>
        <v>692.201831</v>
      </c>
      <c r="N277" s="167"/>
    </row>
    <row r="278" s="1" customFormat="1" ht="26.25" customHeight="1" spans="1:14">
      <c r="A278" s="168" t="s">
        <v>1815</v>
      </c>
      <c r="B278" s="169" t="s">
        <v>1816</v>
      </c>
      <c r="C278" s="170" t="s">
        <v>1785</v>
      </c>
      <c r="D278" s="169" t="s">
        <v>1786</v>
      </c>
      <c r="E278" s="169" t="s">
        <v>1817</v>
      </c>
      <c r="F278" s="180">
        <f t="shared" ref="F278:F284" si="95">SUM(G278:H278)</f>
        <v>44</v>
      </c>
      <c r="G278" s="180">
        <v>44</v>
      </c>
      <c r="H278" s="180"/>
      <c r="I278" s="180"/>
      <c r="J278" s="180"/>
      <c r="K278" s="180"/>
      <c r="L278" s="180"/>
      <c r="M278" s="180">
        <f t="shared" ref="M278:M284" si="96">F278+I278+J278+K278-L278</f>
        <v>44</v>
      </c>
      <c r="N278" s="180"/>
    </row>
    <row r="279" s="1" customFormat="1" ht="26.25" customHeight="1" spans="1:14">
      <c r="A279" s="168" t="s">
        <v>1815</v>
      </c>
      <c r="B279" s="169" t="s">
        <v>1816</v>
      </c>
      <c r="C279" s="170" t="s">
        <v>1785</v>
      </c>
      <c r="D279" s="169" t="s">
        <v>1786</v>
      </c>
      <c r="E279" s="169" t="s">
        <v>1818</v>
      </c>
      <c r="F279" s="180">
        <f t="shared" si="95"/>
        <v>49.832664</v>
      </c>
      <c r="G279" s="180">
        <v>49.832664</v>
      </c>
      <c r="H279" s="180"/>
      <c r="I279" s="180"/>
      <c r="J279" s="180"/>
      <c r="K279" s="180"/>
      <c r="L279" s="180"/>
      <c r="M279" s="180">
        <f t="shared" si="96"/>
        <v>49.832664</v>
      </c>
      <c r="N279" s="180"/>
    </row>
    <row r="280" s="1" customFormat="1" ht="26.25" customHeight="1" spans="1:14">
      <c r="A280" s="168" t="s">
        <v>1815</v>
      </c>
      <c r="B280" s="169" t="s">
        <v>1816</v>
      </c>
      <c r="C280" s="170" t="s">
        <v>1785</v>
      </c>
      <c r="D280" s="169" t="s">
        <v>1786</v>
      </c>
      <c r="E280" s="169" t="s">
        <v>1819</v>
      </c>
      <c r="F280" s="180">
        <f t="shared" si="95"/>
        <v>11.669859</v>
      </c>
      <c r="G280" s="180">
        <v>11.669859</v>
      </c>
      <c r="H280" s="180"/>
      <c r="I280" s="180"/>
      <c r="J280" s="180"/>
      <c r="K280" s="180"/>
      <c r="L280" s="180"/>
      <c r="M280" s="180">
        <f t="shared" si="96"/>
        <v>11.669859</v>
      </c>
      <c r="N280" s="180"/>
    </row>
    <row r="281" s="1" customFormat="1" ht="26.25" customHeight="1" spans="1:14">
      <c r="A281" s="168" t="s">
        <v>1815</v>
      </c>
      <c r="B281" s="169" t="s">
        <v>1816</v>
      </c>
      <c r="C281" s="170" t="s">
        <v>1785</v>
      </c>
      <c r="D281" s="169" t="s">
        <v>1786</v>
      </c>
      <c r="E281" s="169" t="s">
        <v>1820</v>
      </c>
      <c r="F281" s="180">
        <f t="shared" si="95"/>
        <v>150.539859</v>
      </c>
      <c r="G281" s="180">
        <v>150.539859</v>
      </c>
      <c r="H281" s="180"/>
      <c r="I281" s="180"/>
      <c r="J281" s="180"/>
      <c r="K281" s="180"/>
      <c r="L281" s="180"/>
      <c r="M281" s="180">
        <f t="shared" si="96"/>
        <v>150.539859</v>
      </c>
      <c r="N281" s="180"/>
    </row>
    <row r="282" s="1" customFormat="1" ht="26.25" customHeight="1" spans="1:14">
      <c r="A282" s="168" t="s">
        <v>1815</v>
      </c>
      <c r="B282" s="169" t="s">
        <v>1816</v>
      </c>
      <c r="C282" s="170" t="s">
        <v>1785</v>
      </c>
      <c r="D282" s="169" t="s">
        <v>1786</v>
      </c>
      <c r="E282" s="169" t="s">
        <v>1821</v>
      </c>
      <c r="F282" s="180">
        <f t="shared" si="95"/>
        <v>18.687249</v>
      </c>
      <c r="G282" s="180">
        <v>18.687249</v>
      </c>
      <c r="H282" s="180"/>
      <c r="I282" s="180"/>
      <c r="J282" s="180"/>
      <c r="K282" s="180"/>
      <c r="L282" s="180"/>
      <c r="M282" s="180">
        <f t="shared" si="96"/>
        <v>18.687249</v>
      </c>
      <c r="N282" s="180"/>
    </row>
    <row r="283" s="1" customFormat="1" ht="26.25" customHeight="1" spans="1:14">
      <c r="A283" s="168" t="s">
        <v>1815</v>
      </c>
      <c r="B283" s="169" t="s">
        <v>1816</v>
      </c>
      <c r="C283" s="170" t="s">
        <v>1785</v>
      </c>
      <c r="D283" s="169" t="s">
        <v>1786</v>
      </c>
      <c r="E283" s="169" t="s">
        <v>1822</v>
      </c>
      <c r="F283" s="180">
        <f t="shared" si="95"/>
        <v>2.2</v>
      </c>
      <c r="G283" s="180">
        <v>2.2</v>
      </c>
      <c r="H283" s="180"/>
      <c r="I283" s="180"/>
      <c r="J283" s="180"/>
      <c r="K283" s="180"/>
      <c r="L283" s="180"/>
      <c r="M283" s="180">
        <f t="shared" si="96"/>
        <v>2.2</v>
      </c>
      <c r="N283" s="180"/>
    </row>
    <row r="284" s="1" customFormat="1" ht="26.25" customHeight="1" spans="1:14">
      <c r="A284" s="168" t="s">
        <v>1815</v>
      </c>
      <c r="B284" s="169" t="s">
        <v>1816</v>
      </c>
      <c r="C284" s="170" t="s">
        <v>1785</v>
      </c>
      <c r="D284" s="169" t="s">
        <v>1786</v>
      </c>
      <c r="E284" s="169" t="s">
        <v>1823</v>
      </c>
      <c r="F284" s="180">
        <f t="shared" si="95"/>
        <v>415.2722</v>
      </c>
      <c r="G284" s="180">
        <v>415.2722</v>
      </c>
      <c r="H284" s="180"/>
      <c r="I284" s="180"/>
      <c r="J284" s="180"/>
      <c r="K284" s="180"/>
      <c r="L284" s="180"/>
      <c r="M284" s="180">
        <f t="shared" si="96"/>
        <v>415.2722</v>
      </c>
      <c r="N284" s="180"/>
    </row>
    <row r="285" s="1" customFormat="1" ht="26.25" customHeight="1" spans="1:14">
      <c r="A285" s="189" t="s">
        <v>1824</v>
      </c>
      <c r="B285" s="190" t="s">
        <v>1340</v>
      </c>
      <c r="C285" s="191"/>
      <c r="D285" s="192"/>
      <c r="E285" s="192"/>
      <c r="F285" s="167">
        <f t="shared" ref="F285:M285" si="97">SUM(F286:F292)</f>
        <v>837.81181</v>
      </c>
      <c r="G285" s="167">
        <f t="shared" si="97"/>
        <v>837.81181</v>
      </c>
      <c r="H285" s="167">
        <f t="shared" si="97"/>
        <v>0</v>
      </c>
      <c r="I285" s="167">
        <f t="shared" si="97"/>
        <v>0</v>
      </c>
      <c r="J285" s="167">
        <f t="shared" si="97"/>
        <v>0</v>
      </c>
      <c r="K285" s="167">
        <f t="shared" si="97"/>
        <v>0</v>
      </c>
      <c r="L285" s="167">
        <f t="shared" si="97"/>
        <v>38</v>
      </c>
      <c r="M285" s="167">
        <f t="shared" si="97"/>
        <v>799.81181</v>
      </c>
      <c r="N285" s="167"/>
    </row>
    <row r="286" s="1" customFormat="1" ht="26.25" customHeight="1" spans="1:14">
      <c r="A286" s="168" t="s">
        <v>1825</v>
      </c>
      <c r="B286" s="169" t="s">
        <v>1826</v>
      </c>
      <c r="C286" s="170" t="s">
        <v>1785</v>
      </c>
      <c r="D286" s="169" t="s">
        <v>1786</v>
      </c>
      <c r="E286" s="169" t="s">
        <v>1827</v>
      </c>
      <c r="F286" s="180">
        <f t="shared" ref="F286:F292" si="98">SUM(G286:H286)</f>
        <v>23.333468</v>
      </c>
      <c r="G286" s="180">
        <v>23.333468</v>
      </c>
      <c r="H286" s="180"/>
      <c r="I286" s="180"/>
      <c r="J286" s="180"/>
      <c r="K286" s="180"/>
      <c r="L286" s="180"/>
      <c r="M286" s="180">
        <f t="shared" ref="M286:M292" si="99">F286+I286+J286+K286-L286</f>
        <v>23.333468</v>
      </c>
      <c r="N286" s="180"/>
    </row>
    <row r="287" s="1" customFormat="1" ht="26.25" customHeight="1" spans="1:14">
      <c r="A287" s="168" t="s">
        <v>1825</v>
      </c>
      <c r="B287" s="169" t="s">
        <v>1826</v>
      </c>
      <c r="C287" s="170" t="s">
        <v>1785</v>
      </c>
      <c r="D287" s="169" t="s">
        <v>1786</v>
      </c>
      <c r="E287" s="169" t="s">
        <v>1828</v>
      </c>
      <c r="F287" s="180">
        <f t="shared" si="98"/>
        <v>38</v>
      </c>
      <c r="G287" s="180">
        <v>38</v>
      </c>
      <c r="H287" s="180"/>
      <c r="I287" s="180"/>
      <c r="J287" s="180"/>
      <c r="K287" s="180"/>
      <c r="L287" s="180"/>
      <c r="M287" s="180">
        <f t="shared" si="99"/>
        <v>38</v>
      </c>
      <c r="N287" s="180"/>
    </row>
    <row r="288" s="1" customFormat="1" ht="26.25" customHeight="1" spans="1:14">
      <c r="A288" s="168" t="s">
        <v>1825</v>
      </c>
      <c r="B288" s="169" t="s">
        <v>1826</v>
      </c>
      <c r="C288" s="170" t="s">
        <v>1785</v>
      </c>
      <c r="D288" s="169" t="s">
        <v>1786</v>
      </c>
      <c r="E288" s="169" t="s">
        <v>1829</v>
      </c>
      <c r="F288" s="180">
        <f t="shared" si="98"/>
        <v>518.5215</v>
      </c>
      <c r="G288" s="180">
        <v>518.5215</v>
      </c>
      <c r="H288" s="180"/>
      <c r="I288" s="180"/>
      <c r="J288" s="180"/>
      <c r="K288" s="180"/>
      <c r="L288" s="180">
        <v>38</v>
      </c>
      <c r="M288" s="180">
        <f t="shared" si="99"/>
        <v>480.5215</v>
      </c>
      <c r="N288" s="180"/>
    </row>
    <row r="289" s="1" customFormat="1" ht="26.25" customHeight="1" spans="1:14">
      <c r="A289" s="168" t="s">
        <v>1825</v>
      </c>
      <c r="B289" s="169" t="s">
        <v>1826</v>
      </c>
      <c r="C289" s="170" t="s">
        <v>1785</v>
      </c>
      <c r="D289" s="169" t="s">
        <v>1786</v>
      </c>
      <c r="E289" s="169" t="s">
        <v>1830</v>
      </c>
      <c r="F289" s="180">
        <f t="shared" si="98"/>
        <v>8.96676</v>
      </c>
      <c r="G289" s="180">
        <v>8.96676</v>
      </c>
      <c r="H289" s="180"/>
      <c r="I289" s="180"/>
      <c r="J289" s="180"/>
      <c r="K289" s="180"/>
      <c r="L289" s="180"/>
      <c r="M289" s="180">
        <f t="shared" si="99"/>
        <v>8.96676</v>
      </c>
      <c r="N289" s="180"/>
    </row>
    <row r="290" s="1" customFormat="1" ht="26.25" customHeight="1" spans="1:14">
      <c r="A290" s="168" t="s">
        <v>1825</v>
      </c>
      <c r="B290" s="169" t="s">
        <v>1826</v>
      </c>
      <c r="C290" s="170" t="s">
        <v>1785</v>
      </c>
      <c r="D290" s="169" t="s">
        <v>1786</v>
      </c>
      <c r="E290" s="169" t="s">
        <v>1831</v>
      </c>
      <c r="F290" s="180">
        <f t="shared" si="98"/>
        <v>62.22258</v>
      </c>
      <c r="G290" s="180">
        <v>62.22258</v>
      </c>
      <c r="H290" s="180"/>
      <c r="I290" s="180"/>
      <c r="J290" s="180"/>
      <c r="K290" s="180"/>
      <c r="L290" s="180"/>
      <c r="M290" s="180">
        <f t="shared" si="99"/>
        <v>62.22258</v>
      </c>
      <c r="N290" s="180"/>
    </row>
    <row r="291" s="1" customFormat="1" ht="26.25" customHeight="1" spans="1:14">
      <c r="A291" s="168" t="s">
        <v>1825</v>
      </c>
      <c r="B291" s="169" t="s">
        <v>1826</v>
      </c>
      <c r="C291" s="170" t="s">
        <v>1785</v>
      </c>
      <c r="D291" s="169" t="s">
        <v>1786</v>
      </c>
      <c r="E291" s="169" t="s">
        <v>1832</v>
      </c>
      <c r="F291" s="180">
        <f t="shared" si="98"/>
        <v>184.507502</v>
      </c>
      <c r="G291" s="180">
        <v>184.507502</v>
      </c>
      <c r="H291" s="180"/>
      <c r="I291" s="180"/>
      <c r="J291" s="180"/>
      <c r="K291" s="180"/>
      <c r="L291" s="180"/>
      <c r="M291" s="180">
        <f t="shared" si="99"/>
        <v>184.507502</v>
      </c>
      <c r="N291" s="180"/>
    </row>
    <row r="292" s="1" customFormat="1" ht="26.25" customHeight="1" spans="1:14">
      <c r="A292" s="168" t="s">
        <v>1825</v>
      </c>
      <c r="B292" s="169" t="s">
        <v>1826</v>
      </c>
      <c r="C292" s="170" t="s">
        <v>1785</v>
      </c>
      <c r="D292" s="169" t="s">
        <v>1786</v>
      </c>
      <c r="E292" s="169" t="s">
        <v>1833</v>
      </c>
      <c r="F292" s="180">
        <f t="shared" si="98"/>
        <v>2.26</v>
      </c>
      <c r="G292" s="180">
        <v>2.26</v>
      </c>
      <c r="H292" s="180"/>
      <c r="I292" s="180"/>
      <c r="J292" s="180"/>
      <c r="K292" s="180"/>
      <c r="L292" s="180"/>
      <c r="M292" s="180">
        <f t="shared" si="99"/>
        <v>2.26</v>
      </c>
      <c r="N292" s="180"/>
    </row>
    <row r="293" s="1" customFormat="1" ht="26.25" customHeight="1" spans="1:14">
      <c r="A293" s="189" t="s">
        <v>1834</v>
      </c>
      <c r="B293" s="190" t="s">
        <v>1342</v>
      </c>
      <c r="C293" s="191"/>
      <c r="D293" s="192"/>
      <c r="E293" s="192"/>
      <c r="F293" s="167">
        <f t="shared" ref="F293:M293" si="100">SUM(F294:F300)</f>
        <v>1011.392848</v>
      </c>
      <c r="G293" s="167">
        <f t="shared" si="100"/>
        <v>1011.392848</v>
      </c>
      <c r="H293" s="167">
        <f t="shared" si="100"/>
        <v>0</v>
      </c>
      <c r="I293" s="167">
        <f t="shared" si="100"/>
        <v>0</v>
      </c>
      <c r="J293" s="167">
        <f t="shared" si="100"/>
        <v>0</v>
      </c>
      <c r="K293" s="167">
        <f t="shared" si="100"/>
        <v>0</v>
      </c>
      <c r="L293" s="167">
        <f t="shared" si="100"/>
        <v>60</v>
      </c>
      <c r="M293" s="167">
        <f t="shared" si="100"/>
        <v>951.392848</v>
      </c>
      <c r="N293" s="167"/>
    </row>
    <row r="294" s="1" customFormat="1" ht="26.25" customHeight="1" spans="1:14">
      <c r="A294" s="168" t="s">
        <v>1835</v>
      </c>
      <c r="B294" s="169" t="s">
        <v>1836</v>
      </c>
      <c r="C294" s="170" t="s">
        <v>1785</v>
      </c>
      <c r="D294" s="169" t="s">
        <v>1786</v>
      </c>
      <c r="E294" s="169" t="s">
        <v>1837</v>
      </c>
      <c r="F294" s="180">
        <f t="shared" ref="F294:F300" si="101">SUM(G294:H294)</f>
        <v>628.0189</v>
      </c>
      <c r="G294" s="180">
        <v>628.0189</v>
      </c>
      <c r="H294" s="180"/>
      <c r="I294" s="180"/>
      <c r="J294" s="180"/>
      <c r="K294" s="180"/>
      <c r="L294" s="180">
        <v>60</v>
      </c>
      <c r="M294" s="180">
        <f t="shared" ref="M294:M300" si="102">F294+I294+J294+K294-L294</f>
        <v>568.0189</v>
      </c>
      <c r="N294" s="180"/>
    </row>
    <row r="295" s="1" customFormat="1" ht="26.25" customHeight="1" spans="1:14">
      <c r="A295" s="168" t="s">
        <v>1835</v>
      </c>
      <c r="B295" s="169" t="s">
        <v>1836</v>
      </c>
      <c r="C295" s="170" t="s">
        <v>1785</v>
      </c>
      <c r="D295" s="169" t="s">
        <v>1786</v>
      </c>
      <c r="E295" s="169" t="s">
        <v>1838</v>
      </c>
      <c r="F295" s="180">
        <f t="shared" si="101"/>
        <v>2.68</v>
      </c>
      <c r="G295" s="180">
        <v>2.68</v>
      </c>
      <c r="H295" s="180"/>
      <c r="I295" s="180"/>
      <c r="J295" s="180"/>
      <c r="K295" s="180"/>
      <c r="L295" s="180"/>
      <c r="M295" s="180">
        <f t="shared" si="102"/>
        <v>2.68</v>
      </c>
      <c r="N295" s="180"/>
    </row>
    <row r="296" s="1" customFormat="1" ht="26.25" customHeight="1" spans="1:14">
      <c r="A296" s="168" t="s">
        <v>1835</v>
      </c>
      <c r="B296" s="169" t="s">
        <v>1836</v>
      </c>
      <c r="C296" s="170" t="s">
        <v>1785</v>
      </c>
      <c r="D296" s="169" t="s">
        <v>1786</v>
      </c>
      <c r="E296" s="169" t="s">
        <v>1839</v>
      </c>
      <c r="F296" s="180">
        <f t="shared" si="101"/>
        <v>9.698264</v>
      </c>
      <c r="G296" s="180">
        <v>9.698264</v>
      </c>
      <c r="H296" s="180"/>
      <c r="I296" s="180"/>
      <c r="J296" s="180"/>
      <c r="K296" s="180"/>
      <c r="L296" s="180"/>
      <c r="M296" s="180">
        <f t="shared" si="102"/>
        <v>9.698264</v>
      </c>
      <c r="N296" s="180"/>
    </row>
    <row r="297" s="1" customFormat="1" ht="26.25" customHeight="1" spans="1:14">
      <c r="A297" s="168" t="s">
        <v>1835</v>
      </c>
      <c r="B297" s="169" t="s">
        <v>1836</v>
      </c>
      <c r="C297" s="170" t="s">
        <v>1785</v>
      </c>
      <c r="D297" s="169" t="s">
        <v>1786</v>
      </c>
      <c r="E297" s="169" t="s">
        <v>1840</v>
      </c>
      <c r="F297" s="180">
        <f t="shared" si="101"/>
        <v>44</v>
      </c>
      <c r="G297" s="180">
        <v>44</v>
      </c>
      <c r="H297" s="180"/>
      <c r="I297" s="180"/>
      <c r="J297" s="180"/>
      <c r="K297" s="180"/>
      <c r="L297" s="180"/>
      <c r="M297" s="180">
        <f t="shared" si="102"/>
        <v>44</v>
      </c>
      <c r="N297" s="180"/>
    </row>
    <row r="298" s="1" customFormat="1" ht="26.25" customHeight="1" spans="1:14">
      <c r="A298" s="168" t="s">
        <v>1835</v>
      </c>
      <c r="B298" s="169" t="s">
        <v>1836</v>
      </c>
      <c r="C298" s="170" t="s">
        <v>1785</v>
      </c>
      <c r="D298" s="169" t="s">
        <v>1786</v>
      </c>
      <c r="E298" s="169" t="s">
        <v>1841</v>
      </c>
      <c r="F298" s="180">
        <f t="shared" si="101"/>
        <v>223.372565</v>
      </c>
      <c r="G298" s="180">
        <v>223.372565</v>
      </c>
      <c r="H298" s="180"/>
      <c r="I298" s="180"/>
      <c r="J298" s="180"/>
      <c r="K298" s="180"/>
      <c r="L298" s="180"/>
      <c r="M298" s="180">
        <f t="shared" si="102"/>
        <v>223.372565</v>
      </c>
      <c r="N298" s="180"/>
    </row>
    <row r="299" s="1" customFormat="1" ht="26.25" customHeight="1" spans="1:14">
      <c r="A299" s="168" t="s">
        <v>1835</v>
      </c>
      <c r="B299" s="169" t="s">
        <v>1836</v>
      </c>
      <c r="C299" s="170" t="s">
        <v>1785</v>
      </c>
      <c r="D299" s="169" t="s">
        <v>1786</v>
      </c>
      <c r="E299" s="169" t="s">
        <v>1842</v>
      </c>
      <c r="F299" s="180">
        <f t="shared" si="101"/>
        <v>28.260851</v>
      </c>
      <c r="G299" s="180">
        <v>28.260851</v>
      </c>
      <c r="H299" s="180"/>
      <c r="I299" s="180"/>
      <c r="J299" s="180"/>
      <c r="K299" s="180"/>
      <c r="L299" s="180"/>
      <c r="M299" s="180">
        <f t="shared" si="102"/>
        <v>28.260851</v>
      </c>
      <c r="N299" s="180"/>
    </row>
    <row r="300" s="1" customFormat="1" ht="26.25" customHeight="1" spans="1:14">
      <c r="A300" s="168" t="s">
        <v>1835</v>
      </c>
      <c r="B300" s="169" t="s">
        <v>1836</v>
      </c>
      <c r="C300" s="170" t="s">
        <v>1785</v>
      </c>
      <c r="D300" s="169" t="s">
        <v>1786</v>
      </c>
      <c r="E300" s="169" t="s">
        <v>1843</v>
      </c>
      <c r="F300" s="180">
        <f t="shared" si="101"/>
        <v>75.362268</v>
      </c>
      <c r="G300" s="180">
        <v>75.362268</v>
      </c>
      <c r="H300" s="180"/>
      <c r="I300" s="180"/>
      <c r="J300" s="180"/>
      <c r="K300" s="180"/>
      <c r="L300" s="180"/>
      <c r="M300" s="180">
        <f t="shared" si="102"/>
        <v>75.362268</v>
      </c>
      <c r="N300" s="180"/>
    </row>
    <row r="301" s="1" customFormat="1" ht="26.25" customHeight="1" spans="1:14">
      <c r="A301" s="189" t="s">
        <v>1844</v>
      </c>
      <c r="B301" s="190" t="s">
        <v>1344</v>
      </c>
      <c r="C301" s="191"/>
      <c r="D301" s="192"/>
      <c r="E301" s="192"/>
      <c r="F301" s="167">
        <f t="shared" ref="F301:M301" si="103">SUM(F302:F308)</f>
        <v>1957.499123</v>
      </c>
      <c r="G301" s="167">
        <f t="shared" si="103"/>
        <v>1957.499123</v>
      </c>
      <c r="H301" s="167">
        <f t="shared" si="103"/>
        <v>0</v>
      </c>
      <c r="I301" s="167">
        <f t="shared" si="103"/>
        <v>0</v>
      </c>
      <c r="J301" s="167">
        <f t="shared" si="103"/>
        <v>0</v>
      </c>
      <c r="K301" s="167">
        <f t="shared" si="103"/>
        <v>0</v>
      </c>
      <c r="L301" s="167">
        <f t="shared" si="103"/>
        <v>90</v>
      </c>
      <c r="M301" s="167">
        <f t="shared" si="103"/>
        <v>1867.499123</v>
      </c>
      <c r="N301" s="167"/>
    </row>
    <row r="302" s="1" customFormat="1" ht="26.25" customHeight="1" spans="1:14">
      <c r="A302" s="168" t="s">
        <v>1845</v>
      </c>
      <c r="B302" s="169" t="s">
        <v>1846</v>
      </c>
      <c r="C302" s="170" t="s">
        <v>1785</v>
      </c>
      <c r="D302" s="169" t="s">
        <v>1786</v>
      </c>
      <c r="E302" s="169" t="s">
        <v>1847</v>
      </c>
      <c r="F302" s="180">
        <f t="shared" ref="F302:F308" si="104">SUM(G302:H302)</f>
        <v>1219.4511</v>
      </c>
      <c r="G302" s="180">
        <v>1219.4511</v>
      </c>
      <c r="H302" s="180"/>
      <c r="I302" s="180"/>
      <c r="J302" s="180"/>
      <c r="K302" s="180"/>
      <c r="L302" s="180">
        <v>90</v>
      </c>
      <c r="M302" s="180">
        <f t="shared" ref="M302:M308" si="105">F302+I302+J302+K302-L302</f>
        <v>1129.4511</v>
      </c>
      <c r="N302" s="180"/>
    </row>
    <row r="303" s="1" customFormat="1" ht="26.25" customHeight="1" spans="1:14">
      <c r="A303" s="168" t="s">
        <v>1845</v>
      </c>
      <c r="B303" s="169" t="s">
        <v>1846</v>
      </c>
      <c r="C303" s="170" t="s">
        <v>1785</v>
      </c>
      <c r="D303" s="169" t="s">
        <v>1786</v>
      </c>
      <c r="E303" s="169" t="s">
        <v>1848</v>
      </c>
      <c r="F303" s="180">
        <f t="shared" si="104"/>
        <v>432.882537</v>
      </c>
      <c r="G303" s="180">
        <v>432.882537</v>
      </c>
      <c r="H303" s="180"/>
      <c r="I303" s="180"/>
      <c r="J303" s="180"/>
      <c r="K303" s="180"/>
      <c r="L303" s="180"/>
      <c r="M303" s="180">
        <f t="shared" si="105"/>
        <v>432.882537</v>
      </c>
      <c r="N303" s="180"/>
    </row>
    <row r="304" s="1" customFormat="1" ht="26.25" customHeight="1" spans="1:14">
      <c r="A304" s="168" t="s">
        <v>1845</v>
      </c>
      <c r="B304" s="169" t="s">
        <v>1846</v>
      </c>
      <c r="C304" s="170" t="s">
        <v>1785</v>
      </c>
      <c r="D304" s="169" t="s">
        <v>1786</v>
      </c>
      <c r="E304" s="169" t="s">
        <v>1849</v>
      </c>
      <c r="F304" s="180">
        <f t="shared" si="104"/>
        <v>21.456054</v>
      </c>
      <c r="G304" s="180">
        <v>21.456054</v>
      </c>
      <c r="H304" s="180"/>
      <c r="I304" s="180"/>
      <c r="J304" s="180"/>
      <c r="K304" s="180"/>
      <c r="L304" s="180"/>
      <c r="M304" s="180">
        <f t="shared" si="105"/>
        <v>21.456054</v>
      </c>
      <c r="N304" s="180"/>
    </row>
    <row r="305" s="1" customFormat="1" ht="26.25" customHeight="1" spans="1:14">
      <c r="A305" s="168" t="s">
        <v>1845</v>
      </c>
      <c r="B305" s="169" t="s">
        <v>1846</v>
      </c>
      <c r="C305" s="170" t="s">
        <v>1785</v>
      </c>
      <c r="D305" s="169" t="s">
        <v>1786</v>
      </c>
      <c r="E305" s="169" t="s">
        <v>1850</v>
      </c>
      <c r="F305" s="180">
        <f t="shared" si="104"/>
        <v>78</v>
      </c>
      <c r="G305" s="180">
        <v>78</v>
      </c>
      <c r="H305" s="180"/>
      <c r="I305" s="180"/>
      <c r="J305" s="180"/>
      <c r="K305" s="180"/>
      <c r="L305" s="180"/>
      <c r="M305" s="180">
        <f t="shared" si="105"/>
        <v>78</v>
      </c>
      <c r="N305" s="180"/>
    </row>
    <row r="306" s="1" customFormat="1" ht="26.25" customHeight="1" spans="1:14">
      <c r="A306" s="168" t="s">
        <v>1845</v>
      </c>
      <c r="B306" s="169" t="s">
        <v>1846</v>
      </c>
      <c r="C306" s="170" t="s">
        <v>1785</v>
      </c>
      <c r="D306" s="169" t="s">
        <v>1786</v>
      </c>
      <c r="E306" s="169" t="s">
        <v>1851</v>
      </c>
      <c r="F306" s="180">
        <f t="shared" si="104"/>
        <v>4.5</v>
      </c>
      <c r="G306" s="180">
        <v>4.5</v>
      </c>
      <c r="H306" s="180"/>
      <c r="I306" s="180"/>
      <c r="J306" s="180"/>
      <c r="K306" s="180"/>
      <c r="L306" s="180"/>
      <c r="M306" s="180">
        <f t="shared" si="105"/>
        <v>4.5</v>
      </c>
      <c r="N306" s="180"/>
    </row>
    <row r="307" s="1" customFormat="1" ht="26.25" customHeight="1" spans="1:14">
      <c r="A307" s="168" t="s">
        <v>1845</v>
      </c>
      <c r="B307" s="169" t="s">
        <v>1846</v>
      </c>
      <c r="C307" s="170" t="s">
        <v>1785</v>
      </c>
      <c r="D307" s="169" t="s">
        <v>1786</v>
      </c>
      <c r="E307" s="169" t="s">
        <v>1852</v>
      </c>
      <c r="F307" s="180">
        <f t="shared" si="104"/>
        <v>146.334132</v>
      </c>
      <c r="G307" s="180">
        <v>146.334132</v>
      </c>
      <c r="H307" s="180"/>
      <c r="I307" s="180"/>
      <c r="J307" s="180"/>
      <c r="K307" s="180"/>
      <c r="L307" s="180"/>
      <c r="M307" s="180">
        <f t="shared" si="105"/>
        <v>146.334132</v>
      </c>
      <c r="N307" s="180"/>
    </row>
    <row r="308" s="1" customFormat="1" ht="26.25" customHeight="1" spans="1:14">
      <c r="A308" s="168" t="s">
        <v>1845</v>
      </c>
      <c r="B308" s="169" t="s">
        <v>1846</v>
      </c>
      <c r="C308" s="170" t="s">
        <v>1785</v>
      </c>
      <c r="D308" s="169" t="s">
        <v>1786</v>
      </c>
      <c r="E308" s="169" t="s">
        <v>1853</v>
      </c>
      <c r="F308" s="180">
        <f t="shared" si="104"/>
        <v>54.8753</v>
      </c>
      <c r="G308" s="180">
        <v>54.8753</v>
      </c>
      <c r="H308" s="180"/>
      <c r="I308" s="180"/>
      <c r="J308" s="180"/>
      <c r="K308" s="180"/>
      <c r="L308" s="180"/>
      <c r="M308" s="180">
        <f t="shared" si="105"/>
        <v>54.8753</v>
      </c>
      <c r="N308" s="180"/>
    </row>
    <row r="309" s="1" customFormat="1" ht="26.25" customHeight="1" spans="1:14">
      <c r="A309" s="189" t="s">
        <v>1854</v>
      </c>
      <c r="B309" s="190" t="s">
        <v>1346</v>
      </c>
      <c r="C309" s="191"/>
      <c r="D309" s="192"/>
      <c r="E309" s="192"/>
      <c r="F309" s="167">
        <f t="shared" ref="F309:M309" si="106">SUM(F310:F316)</f>
        <v>4899.455649</v>
      </c>
      <c r="G309" s="167">
        <f t="shared" si="106"/>
        <v>4899.455649</v>
      </c>
      <c r="H309" s="167">
        <f t="shared" si="106"/>
        <v>0</v>
      </c>
      <c r="I309" s="167">
        <f t="shared" si="106"/>
        <v>0</v>
      </c>
      <c r="J309" s="167">
        <f t="shared" si="106"/>
        <v>0</v>
      </c>
      <c r="K309" s="167">
        <f t="shared" si="106"/>
        <v>0</v>
      </c>
      <c r="L309" s="167">
        <f t="shared" si="106"/>
        <v>230</v>
      </c>
      <c r="M309" s="167">
        <f t="shared" si="106"/>
        <v>4669.455649</v>
      </c>
      <c r="N309" s="167"/>
    </row>
    <row r="310" s="1" customFormat="1" ht="26.25" customHeight="1" spans="1:14">
      <c r="A310" s="168" t="s">
        <v>1855</v>
      </c>
      <c r="B310" s="169" t="s">
        <v>1856</v>
      </c>
      <c r="C310" s="170" t="s">
        <v>1857</v>
      </c>
      <c r="D310" s="169" t="s">
        <v>1858</v>
      </c>
      <c r="E310" s="169" t="s">
        <v>1859</v>
      </c>
      <c r="F310" s="180">
        <f t="shared" ref="F310:F316" si="107">SUM(G310:H310)</f>
        <v>368.803536</v>
      </c>
      <c r="G310" s="180">
        <v>368.803536</v>
      </c>
      <c r="H310" s="180"/>
      <c r="I310" s="180"/>
      <c r="J310" s="180"/>
      <c r="K310" s="180"/>
      <c r="L310" s="180"/>
      <c r="M310" s="180">
        <f t="shared" ref="M310:M316" si="108">F310+I310+J310+K310-L310</f>
        <v>368.803536</v>
      </c>
      <c r="N310" s="180"/>
    </row>
    <row r="311" s="1" customFormat="1" ht="26.25" customHeight="1" spans="1:14">
      <c r="A311" s="168" t="s">
        <v>1855</v>
      </c>
      <c r="B311" s="169" t="s">
        <v>1856</v>
      </c>
      <c r="C311" s="170" t="s">
        <v>1857</v>
      </c>
      <c r="D311" s="169" t="s">
        <v>1858</v>
      </c>
      <c r="E311" s="169" t="s">
        <v>1860</v>
      </c>
      <c r="F311" s="180">
        <f t="shared" si="107"/>
        <v>1111.07672</v>
      </c>
      <c r="G311" s="180">
        <v>1111.07672</v>
      </c>
      <c r="H311" s="180"/>
      <c r="I311" s="180"/>
      <c r="J311" s="180"/>
      <c r="K311" s="180"/>
      <c r="L311" s="180"/>
      <c r="M311" s="180">
        <f t="shared" si="108"/>
        <v>1111.07672</v>
      </c>
      <c r="N311" s="180"/>
    </row>
    <row r="312" s="1" customFormat="1" ht="26.25" customHeight="1" spans="1:14">
      <c r="A312" s="168" t="s">
        <v>1855</v>
      </c>
      <c r="B312" s="169" t="s">
        <v>1856</v>
      </c>
      <c r="C312" s="170" t="s">
        <v>1857</v>
      </c>
      <c r="D312" s="169" t="s">
        <v>1858</v>
      </c>
      <c r="E312" s="169" t="s">
        <v>1861</v>
      </c>
      <c r="F312" s="180">
        <f t="shared" si="107"/>
        <v>3073.3628</v>
      </c>
      <c r="G312" s="180">
        <v>3073.3628</v>
      </c>
      <c r="H312" s="180"/>
      <c r="I312" s="180"/>
      <c r="J312" s="180"/>
      <c r="K312" s="180"/>
      <c r="L312" s="180">
        <v>230</v>
      </c>
      <c r="M312" s="180">
        <f t="shared" si="108"/>
        <v>2843.3628</v>
      </c>
      <c r="N312" s="180"/>
    </row>
    <row r="313" s="1" customFormat="1" ht="26.25" customHeight="1" spans="1:14">
      <c r="A313" s="168" t="s">
        <v>1855</v>
      </c>
      <c r="B313" s="169" t="s">
        <v>1856</v>
      </c>
      <c r="C313" s="170" t="s">
        <v>1857</v>
      </c>
      <c r="D313" s="169" t="s">
        <v>1858</v>
      </c>
      <c r="E313" s="169" t="s">
        <v>1862</v>
      </c>
      <c r="F313" s="180">
        <f t="shared" si="107"/>
        <v>158</v>
      </c>
      <c r="G313" s="180">
        <v>158</v>
      </c>
      <c r="H313" s="180"/>
      <c r="I313" s="180"/>
      <c r="J313" s="180"/>
      <c r="K313" s="180"/>
      <c r="L313" s="180"/>
      <c r="M313" s="180">
        <f t="shared" si="108"/>
        <v>158</v>
      </c>
      <c r="N313" s="180"/>
    </row>
    <row r="314" s="1" customFormat="1" ht="26.25" customHeight="1" spans="1:14">
      <c r="A314" s="168" t="s">
        <v>1855</v>
      </c>
      <c r="B314" s="169" t="s">
        <v>1856</v>
      </c>
      <c r="C314" s="170" t="s">
        <v>1857</v>
      </c>
      <c r="D314" s="169" t="s">
        <v>1858</v>
      </c>
      <c r="E314" s="169" t="s">
        <v>1863</v>
      </c>
      <c r="F314" s="180">
        <f t="shared" si="107"/>
        <v>7.9</v>
      </c>
      <c r="G314" s="180">
        <v>7.9</v>
      </c>
      <c r="H314" s="180"/>
      <c r="I314" s="180"/>
      <c r="J314" s="180"/>
      <c r="K314" s="180"/>
      <c r="L314" s="180"/>
      <c r="M314" s="180">
        <f t="shared" si="108"/>
        <v>7.9</v>
      </c>
      <c r="N314" s="180"/>
    </row>
    <row r="315" s="1" customFormat="1" ht="26.25" customHeight="1" spans="1:14">
      <c r="A315" s="168" t="s">
        <v>1855</v>
      </c>
      <c r="B315" s="169" t="s">
        <v>1856</v>
      </c>
      <c r="C315" s="170" t="s">
        <v>1857</v>
      </c>
      <c r="D315" s="169" t="s">
        <v>1858</v>
      </c>
      <c r="E315" s="169" t="s">
        <v>1864</v>
      </c>
      <c r="F315" s="180">
        <f t="shared" si="107"/>
        <v>138.301326</v>
      </c>
      <c r="G315" s="180">
        <v>138.301326</v>
      </c>
      <c r="H315" s="180"/>
      <c r="I315" s="180"/>
      <c r="J315" s="180"/>
      <c r="K315" s="180"/>
      <c r="L315" s="180"/>
      <c r="M315" s="180">
        <f t="shared" si="108"/>
        <v>138.301326</v>
      </c>
      <c r="N315" s="180"/>
    </row>
    <row r="316" s="1" customFormat="1" ht="26.25" customHeight="1" spans="1:14">
      <c r="A316" s="168" t="s">
        <v>1855</v>
      </c>
      <c r="B316" s="169" t="s">
        <v>1856</v>
      </c>
      <c r="C316" s="170" t="s">
        <v>1857</v>
      </c>
      <c r="D316" s="169" t="s">
        <v>1858</v>
      </c>
      <c r="E316" s="169" t="s">
        <v>1865</v>
      </c>
      <c r="F316" s="180">
        <f t="shared" si="107"/>
        <v>42.011267</v>
      </c>
      <c r="G316" s="180">
        <v>42.011267</v>
      </c>
      <c r="H316" s="180"/>
      <c r="I316" s="180"/>
      <c r="J316" s="180"/>
      <c r="K316" s="180"/>
      <c r="L316" s="180"/>
      <c r="M316" s="180">
        <f t="shared" si="108"/>
        <v>42.011267</v>
      </c>
      <c r="N316" s="180"/>
    </row>
    <row r="317" s="1" customFormat="1" ht="26.25" customHeight="1" spans="1:14">
      <c r="A317" s="189" t="s">
        <v>1866</v>
      </c>
      <c r="B317" s="190" t="s">
        <v>1348</v>
      </c>
      <c r="C317" s="191"/>
      <c r="D317" s="192"/>
      <c r="E317" s="192"/>
      <c r="F317" s="167">
        <f t="shared" ref="F317:M317" si="109">SUM(F318:F324)</f>
        <v>3644.641564</v>
      </c>
      <c r="G317" s="167">
        <f t="shared" si="109"/>
        <v>3644.641564</v>
      </c>
      <c r="H317" s="167">
        <f t="shared" si="109"/>
        <v>0</v>
      </c>
      <c r="I317" s="167">
        <f t="shared" si="109"/>
        <v>0</v>
      </c>
      <c r="J317" s="167">
        <f t="shared" si="109"/>
        <v>0</v>
      </c>
      <c r="K317" s="167">
        <f t="shared" si="109"/>
        <v>0</v>
      </c>
      <c r="L317" s="167">
        <f t="shared" si="109"/>
        <v>350</v>
      </c>
      <c r="M317" s="167">
        <f t="shared" si="109"/>
        <v>3294.641564</v>
      </c>
      <c r="N317" s="167"/>
    </row>
    <row r="318" s="1" customFormat="1" ht="26.25" customHeight="1" spans="1:14">
      <c r="A318" s="168" t="s">
        <v>1867</v>
      </c>
      <c r="B318" s="169" t="s">
        <v>1868</v>
      </c>
      <c r="C318" s="170" t="s">
        <v>1857</v>
      </c>
      <c r="D318" s="169" t="s">
        <v>1858</v>
      </c>
      <c r="E318" s="169" t="s">
        <v>1869</v>
      </c>
      <c r="F318" s="180">
        <f t="shared" ref="F318:F324" si="110">SUM(G318:H318)</f>
        <v>16.9</v>
      </c>
      <c r="G318" s="180">
        <v>16.9</v>
      </c>
      <c r="H318" s="180"/>
      <c r="I318" s="180"/>
      <c r="J318" s="180"/>
      <c r="K318" s="180"/>
      <c r="L318" s="180"/>
      <c r="M318" s="180">
        <f t="shared" ref="M318:M324" si="111">F318+I318+J318+K318-L318</f>
        <v>16.9</v>
      </c>
      <c r="N318" s="180"/>
    </row>
    <row r="319" s="1" customFormat="1" ht="26.25" customHeight="1" spans="1:14">
      <c r="A319" s="168" t="s">
        <v>1867</v>
      </c>
      <c r="B319" s="169" t="s">
        <v>1868</v>
      </c>
      <c r="C319" s="170" t="s">
        <v>1857</v>
      </c>
      <c r="D319" s="169" t="s">
        <v>1858</v>
      </c>
      <c r="E319" s="169" t="s">
        <v>1870</v>
      </c>
      <c r="F319" s="180">
        <f t="shared" si="110"/>
        <v>759.817653</v>
      </c>
      <c r="G319" s="180">
        <v>759.817653</v>
      </c>
      <c r="H319" s="180"/>
      <c r="I319" s="180"/>
      <c r="J319" s="180"/>
      <c r="K319" s="180"/>
      <c r="L319" s="180"/>
      <c r="M319" s="180">
        <f t="shared" si="111"/>
        <v>759.817653</v>
      </c>
      <c r="N319" s="180"/>
    </row>
    <row r="320" s="1" customFormat="1" ht="26.25" customHeight="1" spans="1:14">
      <c r="A320" s="168" t="s">
        <v>1867</v>
      </c>
      <c r="B320" s="169" t="s">
        <v>1868</v>
      </c>
      <c r="C320" s="170" t="s">
        <v>1857</v>
      </c>
      <c r="D320" s="169" t="s">
        <v>1858</v>
      </c>
      <c r="E320" s="169" t="s">
        <v>1871</v>
      </c>
      <c r="F320" s="180">
        <f t="shared" si="110"/>
        <v>94.421979</v>
      </c>
      <c r="G320" s="180">
        <v>94.421979</v>
      </c>
      <c r="H320" s="180"/>
      <c r="I320" s="180"/>
      <c r="J320" s="180"/>
      <c r="K320" s="180"/>
      <c r="L320" s="180"/>
      <c r="M320" s="180">
        <f t="shared" si="111"/>
        <v>94.421979</v>
      </c>
      <c r="N320" s="180"/>
    </row>
    <row r="321" s="1" customFormat="1" ht="26.25" customHeight="1" spans="1:14">
      <c r="A321" s="168" t="s">
        <v>1867</v>
      </c>
      <c r="B321" s="169" t="s">
        <v>1868</v>
      </c>
      <c r="C321" s="170" t="s">
        <v>1857</v>
      </c>
      <c r="D321" s="169" t="s">
        <v>1858</v>
      </c>
      <c r="E321" s="169" t="s">
        <v>1872</v>
      </c>
      <c r="F321" s="180">
        <f t="shared" si="110"/>
        <v>251.791944</v>
      </c>
      <c r="G321" s="180">
        <v>251.791944</v>
      </c>
      <c r="H321" s="180"/>
      <c r="I321" s="180"/>
      <c r="J321" s="180"/>
      <c r="K321" s="180"/>
      <c r="L321" s="180"/>
      <c r="M321" s="180">
        <f t="shared" si="111"/>
        <v>251.791944</v>
      </c>
      <c r="N321" s="180"/>
    </row>
    <row r="322" s="1" customFormat="1" ht="26.25" customHeight="1" spans="1:14">
      <c r="A322" s="168" t="s">
        <v>1867</v>
      </c>
      <c r="B322" s="169" t="s">
        <v>1868</v>
      </c>
      <c r="C322" s="170" t="s">
        <v>1857</v>
      </c>
      <c r="D322" s="169" t="s">
        <v>1858</v>
      </c>
      <c r="E322" s="169" t="s">
        <v>1873</v>
      </c>
      <c r="F322" s="180">
        <f t="shared" si="110"/>
        <v>85.443788</v>
      </c>
      <c r="G322" s="180">
        <v>85.443788</v>
      </c>
      <c r="H322" s="180"/>
      <c r="I322" s="180"/>
      <c r="J322" s="180"/>
      <c r="K322" s="180"/>
      <c r="L322" s="180"/>
      <c r="M322" s="180">
        <f t="shared" si="111"/>
        <v>85.443788</v>
      </c>
      <c r="N322" s="180"/>
    </row>
    <row r="323" s="1" customFormat="1" ht="26.25" customHeight="1" spans="1:14">
      <c r="A323" s="168" t="s">
        <v>1867</v>
      </c>
      <c r="B323" s="169" t="s">
        <v>1868</v>
      </c>
      <c r="C323" s="170" t="s">
        <v>1857</v>
      </c>
      <c r="D323" s="169" t="s">
        <v>1858</v>
      </c>
      <c r="E323" s="169" t="s">
        <v>1874</v>
      </c>
      <c r="F323" s="180">
        <f t="shared" si="110"/>
        <v>2098.2662</v>
      </c>
      <c r="G323" s="180">
        <v>2098.2662</v>
      </c>
      <c r="H323" s="180"/>
      <c r="I323" s="180"/>
      <c r="J323" s="180"/>
      <c r="K323" s="180"/>
      <c r="L323" s="180">
        <v>350</v>
      </c>
      <c r="M323" s="180">
        <f t="shared" si="111"/>
        <v>1748.2662</v>
      </c>
      <c r="N323" s="180"/>
    </row>
    <row r="324" s="1" customFormat="1" ht="26.25" customHeight="1" spans="1:14">
      <c r="A324" s="168" t="s">
        <v>1867</v>
      </c>
      <c r="B324" s="169" t="s">
        <v>1868</v>
      </c>
      <c r="C324" s="170" t="s">
        <v>1857</v>
      </c>
      <c r="D324" s="169" t="s">
        <v>1858</v>
      </c>
      <c r="E324" s="169" t="s">
        <v>1875</v>
      </c>
      <c r="F324" s="180">
        <f t="shared" si="110"/>
        <v>338</v>
      </c>
      <c r="G324" s="180">
        <v>338</v>
      </c>
      <c r="H324" s="180"/>
      <c r="I324" s="180"/>
      <c r="J324" s="180"/>
      <c r="K324" s="180"/>
      <c r="L324" s="180"/>
      <c r="M324" s="180">
        <f t="shared" si="111"/>
        <v>338</v>
      </c>
      <c r="N324" s="180"/>
    </row>
    <row r="325" s="1" customFormat="1" ht="26.25" customHeight="1" spans="1:14">
      <c r="A325" s="189" t="s">
        <v>1876</v>
      </c>
      <c r="B325" s="190" t="s">
        <v>1350</v>
      </c>
      <c r="C325" s="191"/>
      <c r="D325" s="192"/>
      <c r="E325" s="192"/>
      <c r="F325" s="167">
        <f t="shared" ref="F325:M325" si="112">SUM(F326:F332)</f>
        <v>2869.191562</v>
      </c>
      <c r="G325" s="167">
        <f t="shared" si="112"/>
        <v>2869.191562</v>
      </c>
      <c r="H325" s="167">
        <f t="shared" si="112"/>
        <v>0</v>
      </c>
      <c r="I325" s="167">
        <f t="shared" si="112"/>
        <v>0</v>
      </c>
      <c r="J325" s="167">
        <f t="shared" si="112"/>
        <v>0</v>
      </c>
      <c r="K325" s="167">
        <f t="shared" si="112"/>
        <v>0</v>
      </c>
      <c r="L325" s="167">
        <f t="shared" si="112"/>
        <v>180</v>
      </c>
      <c r="M325" s="167">
        <f t="shared" si="112"/>
        <v>2689.191562</v>
      </c>
      <c r="N325" s="167"/>
    </row>
    <row r="326" s="1" customFormat="1" ht="26.25" customHeight="1" spans="1:14">
      <c r="A326" s="168" t="s">
        <v>1877</v>
      </c>
      <c r="B326" s="169" t="s">
        <v>1878</v>
      </c>
      <c r="C326" s="170" t="s">
        <v>1857</v>
      </c>
      <c r="D326" s="169" t="s">
        <v>1858</v>
      </c>
      <c r="E326" s="169" t="s">
        <v>1879</v>
      </c>
      <c r="F326" s="180">
        <f t="shared" ref="F326:F332" si="113">SUM(G326:H326)</f>
        <v>1693.9728</v>
      </c>
      <c r="G326" s="180">
        <v>1693.9728</v>
      </c>
      <c r="H326" s="180"/>
      <c r="I326" s="180"/>
      <c r="J326" s="180"/>
      <c r="K326" s="180"/>
      <c r="L326" s="180">
        <v>180</v>
      </c>
      <c r="M326" s="180">
        <f t="shared" ref="M326:M332" si="114">F326+I326+J326+K326-L326</f>
        <v>1513.9728</v>
      </c>
      <c r="N326" s="180"/>
    </row>
    <row r="327" s="1" customFormat="1" ht="26.25" customHeight="1" spans="1:14">
      <c r="A327" s="168" t="s">
        <v>1877</v>
      </c>
      <c r="B327" s="169" t="s">
        <v>1878</v>
      </c>
      <c r="C327" s="170" t="s">
        <v>1857</v>
      </c>
      <c r="D327" s="169" t="s">
        <v>1858</v>
      </c>
      <c r="E327" s="169" t="s">
        <v>1880</v>
      </c>
      <c r="F327" s="180">
        <f t="shared" si="113"/>
        <v>216</v>
      </c>
      <c r="G327" s="180">
        <v>216</v>
      </c>
      <c r="H327" s="180"/>
      <c r="I327" s="180"/>
      <c r="J327" s="180"/>
      <c r="K327" s="180"/>
      <c r="L327" s="180"/>
      <c r="M327" s="180">
        <f t="shared" si="114"/>
        <v>216</v>
      </c>
      <c r="N327" s="180"/>
    </row>
    <row r="328" s="1" customFormat="1" ht="26.25" customHeight="1" spans="1:14">
      <c r="A328" s="168" t="s">
        <v>1877</v>
      </c>
      <c r="B328" s="169" t="s">
        <v>1878</v>
      </c>
      <c r="C328" s="170" t="s">
        <v>1857</v>
      </c>
      <c r="D328" s="169" t="s">
        <v>1858</v>
      </c>
      <c r="E328" s="169" t="s">
        <v>1881</v>
      </c>
      <c r="F328" s="180">
        <f t="shared" si="113"/>
        <v>76.228776</v>
      </c>
      <c r="G328" s="180">
        <v>76.228776</v>
      </c>
      <c r="H328" s="180"/>
      <c r="I328" s="180"/>
      <c r="J328" s="180"/>
      <c r="K328" s="180"/>
      <c r="L328" s="180"/>
      <c r="M328" s="180">
        <f t="shared" si="114"/>
        <v>76.228776</v>
      </c>
      <c r="N328" s="180"/>
    </row>
    <row r="329" s="1" customFormat="1" ht="26.25" customHeight="1" spans="1:14">
      <c r="A329" s="168" t="s">
        <v>1877</v>
      </c>
      <c r="B329" s="169" t="s">
        <v>1878</v>
      </c>
      <c r="C329" s="170" t="s">
        <v>1857</v>
      </c>
      <c r="D329" s="169" t="s">
        <v>1858</v>
      </c>
      <c r="E329" s="169" t="s">
        <v>1882</v>
      </c>
      <c r="F329" s="180">
        <f t="shared" si="113"/>
        <v>66.498192</v>
      </c>
      <c r="G329" s="180">
        <v>66.498192</v>
      </c>
      <c r="H329" s="180"/>
      <c r="I329" s="180"/>
      <c r="J329" s="180"/>
      <c r="K329" s="180"/>
      <c r="L329" s="180"/>
      <c r="M329" s="180">
        <f t="shared" si="114"/>
        <v>66.498192</v>
      </c>
      <c r="N329" s="180"/>
    </row>
    <row r="330" s="1" customFormat="1" ht="26.25" customHeight="1" spans="1:14">
      <c r="A330" s="168" t="s">
        <v>1877</v>
      </c>
      <c r="B330" s="169" t="s">
        <v>1878</v>
      </c>
      <c r="C330" s="170" t="s">
        <v>1857</v>
      </c>
      <c r="D330" s="169" t="s">
        <v>1858</v>
      </c>
      <c r="E330" s="169" t="s">
        <v>1883</v>
      </c>
      <c r="F330" s="180">
        <f t="shared" si="113"/>
        <v>12.69</v>
      </c>
      <c r="G330" s="180">
        <v>12.69</v>
      </c>
      <c r="H330" s="180"/>
      <c r="I330" s="180"/>
      <c r="J330" s="180"/>
      <c r="K330" s="180"/>
      <c r="L330" s="180"/>
      <c r="M330" s="180">
        <f t="shared" si="114"/>
        <v>12.69</v>
      </c>
      <c r="N330" s="180"/>
    </row>
    <row r="331" s="1" customFormat="1" ht="26.25" customHeight="1" spans="1:14">
      <c r="A331" s="168" t="s">
        <v>1877</v>
      </c>
      <c r="B331" s="169" t="s">
        <v>1878</v>
      </c>
      <c r="C331" s="170" t="s">
        <v>1857</v>
      </c>
      <c r="D331" s="169" t="s">
        <v>1858</v>
      </c>
      <c r="E331" s="169" t="s">
        <v>1884</v>
      </c>
      <c r="F331" s="180">
        <f t="shared" si="113"/>
        <v>600.525058</v>
      </c>
      <c r="G331" s="180">
        <v>600.525058</v>
      </c>
      <c r="H331" s="180"/>
      <c r="I331" s="180"/>
      <c r="J331" s="180"/>
      <c r="K331" s="180"/>
      <c r="L331" s="180"/>
      <c r="M331" s="180">
        <f t="shared" si="114"/>
        <v>600.525058</v>
      </c>
      <c r="N331" s="180"/>
    </row>
    <row r="332" s="1" customFormat="1" ht="26.25" customHeight="1" spans="1:14">
      <c r="A332" s="168" t="s">
        <v>1877</v>
      </c>
      <c r="B332" s="169" t="s">
        <v>1878</v>
      </c>
      <c r="C332" s="170" t="s">
        <v>1857</v>
      </c>
      <c r="D332" s="169" t="s">
        <v>1858</v>
      </c>
      <c r="E332" s="169" t="s">
        <v>1885</v>
      </c>
      <c r="F332" s="180">
        <f t="shared" si="113"/>
        <v>203.276736</v>
      </c>
      <c r="G332" s="180">
        <v>203.276736</v>
      </c>
      <c r="H332" s="180"/>
      <c r="I332" s="180"/>
      <c r="J332" s="180"/>
      <c r="K332" s="180"/>
      <c r="L332" s="180"/>
      <c r="M332" s="180">
        <f t="shared" si="114"/>
        <v>203.276736</v>
      </c>
      <c r="N332" s="180"/>
    </row>
    <row r="333" s="1" customFormat="1" ht="26.25" customHeight="1" spans="1:14">
      <c r="A333" s="189" t="s">
        <v>1886</v>
      </c>
      <c r="B333" s="190" t="s">
        <v>1352</v>
      </c>
      <c r="C333" s="191"/>
      <c r="D333" s="192"/>
      <c r="E333" s="192"/>
      <c r="F333" s="167">
        <f t="shared" ref="F333:M333" si="115">SUM(F334:F340)</f>
        <v>2064.543921</v>
      </c>
      <c r="G333" s="167">
        <f t="shared" si="115"/>
        <v>2064.543921</v>
      </c>
      <c r="H333" s="167">
        <f t="shared" si="115"/>
        <v>0</v>
      </c>
      <c r="I333" s="167">
        <f t="shared" si="115"/>
        <v>0</v>
      </c>
      <c r="J333" s="167">
        <f t="shared" si="115"/>
        <v>0</v>
      </c>
      <c r="K333" s="167">
        <f t="shared" si="115"/>
        <v>0</v>
      </c>
      <c r="L333" s="167">
        <f t="shared" si="115"/>
        <v>70</v>
      </c>
      <c r="M333" s="167">
        <f t="shared" si="115"/>
        <v>1994.543921</v>
      </c>
      <c r="N333" s="167"/>
    </row>
    <row r="334" s="1" customFormat="1" ht="26.25" customHeight="1" spans="1:14">
      <c r="A334" s="168" t="s">
        <v>1887</v>
      </c>
      <c r="B334" s="169" t="s">
        <v>1888</v>
      </c>
      <c r="C334" s="170" t="s">
        <v>1857</v>
      </c>
      <c r="D334" s="169" t="s">
        <v>1858</v>
      </c>
      <c r="E334" s="169" t="s">
        <v>1889</v>
      </c>
      <c r="F334" s="180">
        <f t="shared" ref="F334:F340" si="116">SUM(G334:H334)</f>
        <v>1186.3118</v>
      </c>
      <c r="G334" s="180">
        <v>1186.3118</v>
      </c>
      <c r="H334" s="180"/>
      <c r="I334" s="180"/>
      <c r="J334" s="180"/>
      <c r="K334" s="180"/>
      <c r="L334" s="180">
        <v>70</v>
      </c>
      <c r="M334" s="180">
        <f t="shared" ref="M334:M340" si="117">F334+I334+J334+K334-L334</f>
        <v>1116.3118</v>
      </c>
      <c r="N334" s="180"/>
    </row>
    <row r="335" s="1" customFormat="1" ht="26.25" customHeight="1" spans="1:14">
      <c r="A335" s="168" t="s">
        <v>1887</v>
      </c>
      <c r="B335" s="169" t="s">
        <v>1888</v>
      </c>
      <c r="C335" s="170" t="s">
        <v>1857</v>
      </c>
      <c r="D335" s="169" t="s">
        <v>1858</v>
      </c>
      <c r="E335" s="169" t="s">
        <v>1890</v>
      </c>
      <c r="F335" s="180">
        <f t="shared" si="116"/>
        <v>66.769253</v>
      </c>
      <c r="G335" s="180">
        <v>66.769253</v>
      </c>
      <c r="H335" s="180"/>
      <c r="I335" s="180"/>
      <c r="J335" s="180"/>
      <c r="K335" s="180"/>
      <c r="L335" s="180"/>
      <c r="M335" s="180">
        <f t="shared" si="117"/>
        <v>66.769253</v>
      </c>
      <c r="N335" s="180"/>
    </row>
    <row r="336" s="1" customFormat="1" ht="26.25" customHeight="1" spans="1:14">
      <c r="A336" s="168" t="s">
        <v>1887</v>
      </c>
      <c r="B336" s="169" t="s">
        <v>1888</v>
      </c>
      <c r="C336" s="170" t="s">
        <v>1857</v>
      </c>
      <c r="D336" s="169" t="s">
        <v>1858</v>
      </c>
      <c r="E336" s="169" t="s">
        <v>1891</v>
      </c>
      <c r="F336" s="180">
        <f t="shared" si="116"/>
        <v>184</v>
      </c>
      <c r="G336" s="180">
        <v>184</v>
      </c>
      <c r="H336" s="180"/>
      <c r="I336" s="180"/>
      <c r="J336" s="180"/>
      <c r="K336" s="180"/>
      <c r="L336" s="180"/>
      <c r="M336" s="180">
        <f t="shared" si="117"/>
        <v>184</v>
      </c>
      <c r="N336" s="180"/>
    </row>
    <row r="337" s="1" customFormat="1" ht="26.25" customHeight="1" spans="1:14">
      <c r="A337" s="168" t="s">
        <v>1887</v>
      </c>
      <c r="B337" s="169" t="s">
        <v>1888</v>
      </c>
      <c r="C337" s="170" t="s">
        <v>1857</v>
      </c>
      <c r="D337" s="169" t="s">
        <v>1858</v>
      </c>
      <c r="E337" s="169" t="s">
        <v>1892</v>
      </c>
      <c r="F337" s="180">
        <f t="shared" si="116"/>
        <v>142.357416</v>
      </c>
      <c r="G337" s="180">
        <v>142.357416</v>
      </c>
      <c r="H337" s="180"/>
      <c r="I337" s="180"/>
      <c r="J337" s="180"/>
      <c r="K337" s="180"/>
      <c r="L337" s="180"/>
      <c r="M337" s="180">
        <f t="shared" si="117"/>
        <v>142.357416</v>
      </c>
      <c r="N337" s="180"/>
    </row>
    <row r="338" s="1" customFormat="1" ht="26.25" customHeight="1" spans="1:14">
      <c r="A338" s="168" t="s">
        <v>1887</v>
      </c>
      <c r="B338" s="169" t="s">
        <v>1888</v>
      </c>
      <c r="C338" s="170" t="s">
        <v>1857</v>
      </c>
      <c r="D338" s="169" t="s">
        <v>1858</v>
      </c>
      <c r="E338" s="169" t="s">
        <v>1893</v>
      </c>
      <c r="F338" s="180">
        <f t="shared" si="116"/>
        <v>53.384031</v>
      </c>
      <c r="G338" s="180">
        <v>53.384031</v>
      </c>
      <c r="H338" s="180"/>
      <c r="I338" s="180"/>
      <c r="J338" s="180"/>
      <c r="K338" s="180"/>
      <c r="L338" s="180"/>
      <c r="M338" s="180">
        <f t="shared" si="117"/>
        <v>53.384031</v>
      </c>
      <c r="N338" s="180"/>
    </row>
    <row r="339" s="1" customFormat="1" ht="26.25" customHeight="1" spans="1:14">
      <c r="A339" s="168" t="s">
        <v>1887</v>
      </c>
      <c r="B339" s="169" t="s">
        <v>1888</v>
      </c>
      <c r="C339" s="170" t="s">
        <v>1857</v>
      </c>
      <c r="D339" s="169" t="s">
        <v>1858</v>
      </c>
      <c r="E339" s="169" t="s">
        <v>1894</v>
      </c>
      <c r="F339" s="180">
        <f t="shared" si="116"/>
        <v>11.03</v>
      </c>
      <c r="G339" s="180">
        <v>11.03</v>
      </c>
      <c r="H339" s="180"/>
      <c r="I339" s="180"/>
      <c r="J339" s="180"/>
      <c r="K339" s="180"/>
      <c r="L339" s="180"/>
      <c r="M339" s="180">
        <f t="shared" si="117"/>
        <v>11.03</v>
      </c>
      <c r="N339" s="180"/>
    </row>
    <row r="340" s="1" customFormat="1" ht="26.25" customHeight="1" spans="1:14">
      <c r="A340" s="168" t="s">
        <v>1887</v>
      </c>
      <c r="B340" s="169" t="s">
        <v>1888</v>
      </c>
      <c r="C340" s="170" t="s">
        <v>1857</v>
      </c>
      <c r="D340" s="169" t="s">
        <v>1858</v>
      </c>
      <c r="E340" s="169" t="s">
        <v>1895</v>
      </c>
      <c r="F340" s="180">
        <f t="shared" si="116"/>
        <v>420.691421</v>
      </c>
      <c r="G340" s="180">
        <v>420.691421</v>
      </c>
      <c r="H340" s="180"/>
      <c r="I340" s="180"/>
      <c r="J340" s="180"/>
      <c r="K340" s="180"/>
      <c r="L340" s="180"/>
      <c r="M340" s="180">
        <f t="shared" si="117"/>
        <v>420.691421</v>
      </c>
      <c r="N340" s="180"/>
    </row>
    <row r="341" s="1" customFormat="1" ht="26.25" customHeight="1" spans="1:14">
      <c r="A341" s="189" t="s">
        <v>1896</v>
      </c>
      <c r="B341" s="190" t="s">
        <v>1354</v>
      </c>
      <c r="C341" s="191"/>
      <c r="D341" s="192"/>
      <c r="E341" s="192"/>
      <c r="F341" s="167">
        <f t="shared" ref="F341:M341" si="118">SUM(F342:F345)</f>
        <v>130.608134</v>
      </c>
      <c r="G341" s="167">
        <f t="shared" si="118"/>
        <v>130.608134</v>
      </c>
      <c r="H341" s="167">
        <f t="shared" si="118"/>
        <v>0</v>
      </c>
      <c r="I341" s="167">
        <f t="shared" si="118"/>
        <v>0</v>
      </c>
      <c r="J341" s="167">
        <f t="shared" si="118"/>
        <v>0</v>
      </c>
      <c r="K341" s="167">
        <f t="shared" si="118"/>
        <v>0</v>
      </c>
      <c r="L341" s="167">
        <f t="shared" si="118"/>
        <v>128.894726</v>
      </c>
      <c r="M341" s="167">
        <f t="shared" si="118"/>
        <v>1.713408</v>
      </c>
      <c r="N341" s="167"/>
    </row>
    <row r="342" s="1" customFormat="1" ht="26.25" customHeight="1" spans="1:14">
      <c r="A342" s="168" t="s">
        <v>1897</v>
      </c>
      <c r="B342" s="169" t="s">
        <v>1898</v>
      </c>
      <c r="C342" s="170" t="s">
        <v>1857</v>
      </c>
      <c r="D342" s="169" t="s">
        <v>1858</v>
      </c>
      <c r="E342" s="169" t="s">
        <v>1635</v>
      </c>
      <c r="F342" s="180">
        <f t="shared" ref="F342:F345" si="119">SUM(G342:H342)</f>
        <v>30.805846</v>
      </c>
      <c r="G342" s="180">
        <v>30.805846</v>
      </c>
      <c r="H342" s="180"/>
      <c r="I342" s="180"/>
      <c r="J342" s="180"/>
      <c r="K342" s="180"/>
      <c r="L342" s="180">
        <v>30.805846</v>
      </c>
      <c r="M342" s="180">
        <f t="shared" ref="M342:M345" si="120">F342+I342+J342+K342-L342</f>
        <v>0</v>
      </c>
      <c r="N342" s="180"/>
    </row>
    <row r="343" s="1" customFormat="1" ht="26.25" customHeight="1" spans="1:14">
      <c r="A343" s="168" t="s">
        <v>1897</v>
      </c>
      <c r="B343" s="169" t="s">
        <v>1898</v>
      </c>
      <c r="C343" s="170" t="s">
        <v>1857</v>
      </c>
      <c r="D343" s="169" t="s">
        <v>1858</v>
      </c>
      <c r="E343" s="169" t="s">
        <v>1636</v>
      </c>
      <c r="F343" s="180">
        <f t="shared" si="119"/>
        <v>10.280064</v>
      </c>
      <c r="G343" s="180">
        <v>10.280064</v>
      </c>
      <c r="H343" s="180"/>
      <c r="I343" s="180"/>
      <c r="J343" s="180"/>
      <c r="K343" s="180"/>
      <c r="L343" s="180">
        <v>10.28</v>
      </c>
      <c r="M343" s="180">
        <f t="shared" si="120"/>
        <v>6.4000000000064e-5</v>
      </c>
      <c r="N343" s="180"/>
    </row>
    <row r="344" s="1" customFormat="1" ht="26.25" customHeight="1" spans="1:14">
      <c r="A344" s="168" t="s">
        <v>1897</v>
      </c>
      <c r="B344" s="169" t="s">
        <v>1898</v>
      </c>
      <c r="C344" s="170" t="s">
        <v>1857</v>
      </c>
      <c r="D344" s="169" t="s">
        <v>1858</v>
      </c>
      <c r="E344" s="169" t="s">
        <v>1632</v>
      </c>
      <c r="F344" s="180">
        <f t="shared" si="119"/>
        <v>85.6672</v>
      </c>
      <c r="G344" s="180">
        <v>85.6672</v>
      </c>
      <c r="H344" s="180"/>
      <c r="I344" s="180"/>
      <c r="J344" s="180"/>
      <c r="K344" s="180"/>
      <c r="L344" s="180">
        <v>85.6672</v>
      </c>
      <c r="M344" s="180">
        <f t="shared" si="120"/>
        <v>0</v>
      </c>
      <c r="N344" s="180"/>
    </row>
    <row r="345" s="1" customFormat="1" ht="26.25" customHeight="1" spans="1:14">
      <c r="A345" s="168" t="s">
        <v>1897</v>
      </c>
      <c r="B345" s="169" t="s">
        <v>1898</v>
      </c>
      <c r="C345" s="170" t="s">
        <v>1857</v>
      </c>
      <c r="D345" s="169" t="s">
        <v>1858</v>
      </c>
      <c r="E345" s="169" t="s">
        <v>1637</v>
      </c>
      <c r="F345" s="180">
        <f t="shared" si="119"/>
        <v>3.855024</v>
      </c>
      <c r="G345" s="180">
        <v>3.855024</v>
      </c>
      <c r="H345" s="180"/>
      <c r="I345" s="180"/>
      <c r="J345" s="180"/>
      <c r="K345" s="180"/>
      <c r="L345" s="180">
        <v>2.14168</v>
      </c>
      <c r="M345" s="180">
        <f t="shared" si="120"/>
        <v>1.713344</v>
      </c>
      <c r="N345" s="180"/>
    </row>
    <row r="346" s="1" customFormat="1" ht="26.25" customHeight="1" spans="1:14">
      <c r="A346" s="189" t="s">
        <v>1899</v>
      </c>
      <c r="B346" s="190" t="s">
        <v>1900</v>
      </c>
      <c r="C346" s="191"/>
      <c r="D346" s="192"/>
      <c r="E346" s="192"/>
      <c r="F346" s="167">
        <f t="shared" ref="F346:M346" si="121">SUM(F347:F355)</f>
        <v>169.320797</v>
      </c>
      <c r="G346" s="167">
        <f t="shared" si="121"/>
        <v>169.320797</v>
      </c>
      <c r="H346" s="167">
        <f t="shared" si="121"/>
        <v>0</v>
      </c>
      <c r="I346" s="167">
        <f t="shared" si="121"/>
        <v>0</v>
      </c>
      <c r="J346" s="167">
        <f t="shared" si="121"/>
        <v>40.98</v>
      </c>
      <c r="K346" s="167">
        <f t="shared" si="121"/>
        <v>0</v>
      </c>
      <c r="L346" s="167">
        <f t="shared" si="121"/>
        <v>0</v>
      </c>
      <c r="M346" s="167">
        <f t="shared" si="121"/>
        <v>210.300797</v>
      </c>
      <c r="N346" s="167"/>
    </row>
    <row r="347" s="1" customFormat="1" ht="26.25" customHeight="1" spans="1:14">
      <c r="A347" s="168" t="s">
        <v>1901</v>
      </c>
      <c r="B347" s="169" t="s">
        <v>1902</v>
      </c>
      <c r="C347" s="170" t="s">
        <v>1903</v>
      </c>
      <c r="D347" s="169" t="s">
        <v>1439</v>
      </c>
      <c r="E347" s="169" t="s">
        <v>1904</v>
      </c>
      <c r="F347" s="180">
        <f t="shared" ref="F347:F355" si="122">SUM(G347:H347)</f>
        <v>0.513589</v>
      </c>
      <c r="G347" s="180">
        <v>0.513589</v>
      </c>
      <c r="H347" s="180"/>
      <c r="I347" s="180"/>
      <c r="J347" s="180"/>
      <c r="K347" s="180"/>
      <c r="L347" s="180"/>
      <c r="M347" s="180">
        <f t="shared" ref="M347:M355" si="123">F347+I347+J347+K347-L347</f>
        <v>0.513589</v>
      </c>
      <c r="N347" s="180"/>
    </row>
    <row r="348" s="1" customFormat="1" ht="26.25" customHeight="1" spans="1:14">
      <c r="A348" s="168" t="s">
        <v>1901</v>
      </c>
      <c r="B348" s="169" t="s">
        <v>1902</v>
      </c>
      <c r="C348" s="170" t="s">
        <v>1903</v>
      </c>
      <c r="D348" s="169" t="s">
        <v>1439</v>
      </c>
      <c r="E348" s="169" t="s">
        <v>1905</v>
      </c>
      <c r="F348" s="180">
        <f t="shared" si="122"/>
        <v>3.66</v>
      </c>
      <c r="G348" s="180">
        <v>3.66</v>
      </c>
      <c r="H348" s="180"/>
      <c r="I348" s="180"/>
      <c r="J348" s="180"/>
      <c r="K348" s="180"/>
      <c r="L348" s="180"/>
      <c r="M348" s="180">
        <f t="shared" si="123"/>
        <v>3.66</v>
      </c>
      <c r="N348" s="180"/>
    </row>
    <row r="349" s="1" customFormat="1" ht="26.25" customHeight="1" spans="1:14">
      <c r="A349" s="168" t="s">
        <v>1901</v>
      </c>
      <c r="B349" s="169" t="s">
        <v>1902</v>
      </c>
      <c r="C349" s="170" t="s">
        <v>1903</v>
      </c>
      <c r="D349" s="169" t="s">
        <v>1439</v>
      </c>
      <c r="E349" s="169" t="s">
        <v>1906</v>
      </c>
      <c r="F349" s="180">
        <f t="shared" si="122"/>
        <v>0.1</v>
      </c>
      <c r="G349" s="180">
        <v>0.1</v>
      </c>
      <c r="H349" s="180"/>
      <c r="I349" s="180"/>
      <c r="J349" s="180"/>
      <c r="K349" s="180"/>
      <c r="L349" s="180"/>
      <c r="M349" s="180">
        <f t="shared" si="123"/>
        <v>0.1</v>
      </c>
      <c r="N349" s="180"/>
    </row>
    <row r="350" s="1" customFormat="1" ht="26.25" customHeight="1" spans="1:14">
      <c r="A350" s="168" t="s">
        <v>1901</v>
      </c>
      <c r="B350" s="169" t="s">
        <v>1902</v>
      </c>
      <c r="C350" s="170" t="s">
        <v>1903</v>
      </c>
      <c r="D350" s="169" t="s">
        <v>1439</v>
      </c>
      <c r="E350" s="169" t="s">
        <v>1907</v>
      </c>
      <c r="F350" s="180">
        <f t="shared" si="122"/>
        <v>109.55238</v>
      </c>
      <c r="G350" s="180">
        <v>109.55238</v>
      </c>
      <c r="H350" s="180"/>
      <c r="I350" s="180"/>
      <c r="J350" s="180">
        <v>40.98</v>
      </c>
      <c r="K350" s="180"/>
      <c r="L350" s="180"/>
      <c r="M350" s="180">
        <f t="shared" si="123"/>
        <v>150.53238</v>
      </c>
      <c r="N350" s="180"/>
    </row>
    <row r="351" s="1" customFormat="1" ht="26.25" customHeight="1" spans="1:14">
      <c r="A351" s="168" t="s">
        <v>1901</v>
      </c>
      <c r="B351" s="169" t="s">
        <v>1902</v>
      </c>
      <c r="C351" s="170" t="s">
        <v>1903</v>
      </c>
      <c r="D351" s="169" t="s">
        <v>1439</v>
      </c>
      <c r="E351" s="169" t="s">
        <v>1908</v>
      </c>
      <c r="F351" s="180">
        <f t="shared" si="122"/>
        <v>3.165</v>
      </c>
      <c r="G351" s="180">
        <v>3.165</v>
      </c>
      <c r="H351" s="180"/>
      <c r="I351" s="180"/>
      <c r="J351" s="180"/>
      <c r="K351" s="180"/>
      <c r="L351" s="180"/>
      <c r="M351" s="180">
        <f t="shared" si="123"/>
        <v>3.165</v>
      </c>
      <c r="N351" s="180"/>
    </row>
    <row r="352" s="1" customFormat="1" ht="26.25" customHeight="1" spans="1:14">
      <c r="A352" s="168" t="s">
        <v>1901</v>
      </c>
      <c r="B352" s="169" t="s">
        <v>1902</v>
      </c>
      <c r="C352" s="170" t="s">
        <v>1903</v>
      </c>
      <c r="D352" s="169" t="s">
        <v>1439</v>
      </c>
      <c r="E352" s="169" t="s">
        <v>1909</v>
      </c>
      <c r="F352" s="180">
        <f t="shared" si="122"/>
        <v>10.705486</v>
      </c>
      <c r="G352" s="180">
        <v>10.705486</v>
      </c>
      <c r="H352" s="180"/>
      <c r="I352" s="180"/>
      <c r="J352" s="180"/>
      <c r="K352" s="180"/>
      <c r="L352" s="180"/>
      <c r="M352" s="180">
        <f t="shared" si="123"/>
        <v>10.705486</v>
      </c>
      <c r="N352" s="180"/>
    </row>
    <row r="353" s="1" customFormat="1" ht="26.25" customHeight="1" spans="1:14">
      <c r="A353" s="168" t="s">
        <v>1901</v>
      </c>
      <c r="B353" s="169" t="s">
        <v>1902</v>
      </c>
      <c r="C353" s="170" t="s">
        <v>1903</v>
      </c>
      <c r="D353" s="169" t="s">
        <v>1439</v>
      </c>
      <c r="E353" s="169" t="s">
        <v>1910</v>
      </c>
      <c r="F353" s="180">
        <f t="shared" si="122"/>
        <v>8</v>
      </c>
      <c r="G353" s="180">
        <v>8</v>
      </c>
      <c r="H353" s="180"/>
      <c r="I353" s="180"/>
      <c r="J353" s="180"/>
      <c r="K353" s="180"/>
      <c r="L353" s="180"/>
      <c r="M353" s="180">
        <f t="shared" si="123"/>
        <v>8</v>
      </c>
      <c r="N353" s="180"/>
    </row>
    <row r="354" s="1" customFormat="1" ht="26.25" customHeight="1" spans="1:14">
      <c r="A354" s="168" t="s">
        <v>1901</v>
      </c>
      <c r="B354" s="169" t="s">
        <v>1902</v>
      </c>
      <c r="C354" s="170" t="s">
        <v>1903</v>
      </c>
      <c r="D354" s="169" t="s">
        <v>1439</v>
      </c>
      <c r="E354" s="169" t="s">
        <v>1911</v>
      </c>
      <c r="F354" s="180">
        <f t="shared" si="122"/>
        <v>4.014558</v>
      </c>
      <c r="G354" s="180">
        <v>4.014558</v>
      </c>
      <c r="H354" s="180"/>
      <c r="I354" s="180"/>
      <c r="J354" s="180"/>
      <c r="K354" s="180"/>
      <c r="L354" s="180"/>
      <c r="M354" s="180">
        <f t="shared" si="123"/>
        <v>4.014558</v>
      </c>
      <c r="N354" s="180"/>
    </row>
    <row r="355" s="1" customFormat="1" ht="26.25" customHeight="1" spans="1:14">
      <c r="A355" s="168" t="s">
        <v>1901</v>
      </c>
      <c r="B355" s="169" t="s">
        <v>1902</v>
      </c>
      <c r="C355" s="170" t="s">
        <v>1903</v>
      </c>
      <c r="D355" s="169" t="s">
        <v>1439</v>
      </c>
      <c r="E355" s="169" t="s">
        <v>1912</v>
      </c>
      <c r="F355" s="180">
        <f t="shared" si="122"/>
        <v>29.609784</v>
      </c>
      <c r="G355" s="180">
        <v>29.609784</v>
      </c>
      <c r="H355" s="180"/>
      <c r="I355" s="180"/>
      <c r="J355" s="180"/>
      <c r="K355" s="180"/>
      <c r="L355" s="180"/>
      <c r="M355" s="180">
        <f t="shared" si="123"/>
        <v>29.609784</v>
      </c>
      <c r="N355" s="180"/>
    </row>
    <row r="356" s="1" customFormat="1" ht="26.25" customHeight="1" spans="1:14">
      <c r="A356" s="189" t="s">
        <v>1913</v>
      </c>
      <c r="B356" s="190" t="s">
        <v>1914</v>
      </c>
      <c r="C356" s="191"/>
      <c r="D356" s="192"/>
      <c r="E356" s="192"/>
      <c r="F356" s="167">
        <f t="shared" ref="F356:M356" si="124">SUM(F357:F365)</f>
        <v>88.340105</v>
      </c>
      <c r="G356" s="167">
        <f t="shared" si="124"/>
        <v>88.340105</v>
      </c>
      <c r="H356" s="167">
        <f t="shared" si="124"/>
        <v>0</v>
      </c>
      <c r="I356" s="167">
        <f t="shared" si="124"/>
        <v>0</v>
      </c>
      <c r="J356" s="167">
        <f t="shared" si="124"/>
        <v>15</v>
      </c>
      <c r="K356" s="167">
        <f t="shared" si="124"/>
        <v>0</v>
      </c>
      <c r="L356" s="167">
        <f t="shared" si="124"/>
        <v>0</v>
      </c>
      <c r="M356" s="167">
        <f t="shared" si="124"/>
        <v>103.340105</v>
      </c>
      <c r="N356" s="167"/>
    </row>
    <row r="357" s="1" customFormat="1" ht="26.25" customHeight="1" spans="1:14">
      <c r="A357" s="168" t="s">
        <v>1915</v>
      </c>
      <c r="B357" s="169" t="s">
        <v>1916</v>
      </c>
      <c r="C357" s="170" t="s">
        <v>1917</v>
      </c>
      <c r="D357" s="169" t="s">
        <v>1439</v>
      </c>
      <c r="E357" s="169" t="s">
        <v>1918</v>
      </c>
      <c r="F357" s="180">
        <f t="shared" ref="F357:F365" si="125">SUM(G357:H357)</f>
        <v>1.92821</v>
      </c>
      <c r="G357" s="180">
        <v>1.92821</v>
      </c>
      <c r="H357" s="180"/>
      <c r="I357" s="180"/>
      <c r="J357" s="180"/>
      <c r="K357" s="180"/>
      <c r="L357" s="180"/>
      <c r="M357" s="180">
        <f t="shared" ref="M357:M365" si="126">F357+I357+J357+K357-L357</f>
        <v>1.92821</v>
      </c>
      <c r="N357" s="180"/>
    </row>
    <row r="358" s="1" customFormat="1" ht="26.25" customHeight="1" spans="1:14">
      <c r="A358" s="168" t="s">
        <v>1915</v>
      </c>
      <c r="B358" s="169" t="s">
        <v>1916</v>
      </c>
      <c r="C358" s="170" t="s">
        <v>1917</v>
      </c>
      <c r="D358" s="169" t="s">
        <v>1439</v>
      </c>
      <c r="E358" s="169" t="s">
        <v>1919</v>
      </c>
      <c r="F358" s="180">
        <f t="shared" si="125"/>
        <v>55.662077</v>
      </c>
      <c r="G358" s="180">
        <v>55.662077</v>
      </c>
      <c r="H358" s="180"/>
      <c r="I358" s="180"/>
      <c r="J358" s="180">
        <v>15</v>
      </c>
      <c r="K358" s="180"/>
      <c r="L358" s="180"/>
      <c r="M358" s="180">
        <f t="shared" si="126"/>
        <v>70.662077</v>
      </c>
      <c r="N358" s="180"/>
    </row>
    <row r="359" s="1" customFormat="1" ht="26.25" customHeight="1" spans="1:14">
      <c r="A359" s="168" t="s">
        <v>1915</v>
      </c>
      <c r="B359" s="169" t="s">
        <v>1916</v>
      </c>
      <c r="C359" s="170" t="s">
        <v>1917</v>
      </c>
      <c r="D359" s="169" t="s">
        <v>1439</v>
      </c>
      <c r="E359" s="169" t="s">
        <v>1920</v>
      </c>
      <c r="F359" s="180">
        <f t="shared" si="125"/>
        <v>0.2</v>
      </c>
      <c r="G359" s="180">
        <v>0.2</v>
      </c>
      <c r="H359" s="180"/>
      <c r="I359" s="180"/>
      <c r="J359" s="180"/>
      <c r="K359" s="180"/>
      <c r="L359" s="180"/>
      <c r="M359" s="180">
        <f t="shared" si="126"/>
        <v>0.2</v>
      </c>
      <c r="N359" s="180"/>
    </row>
    <row r="360" s="1" customFormat="1" ht="26.25" customHeight="1" spans="1:14">
      <c r="A360" s="168" t="s">
        <v>1915</v>
      </c>
      <c r="B360" s="169" t="s">
        <v>1916</v>
      </c>
      <c r="C360" s="170" t="s">
        <v>1917</v>
      </c>
      <c r="D360" s="169" t="s">
        <v>1439</v>
      </c>
      <c r="E360" s="169" t="s">
        <v>1921</v>
      </c>
      <c r="F360" s="180">
        <f t="shared" si="125"/>
        <v>4.5108</v>
      </c>
      <c r="G360" s="180">
        <v>4.5108</v>
      </c>
      <c r="H360" s="180"/>
      <c r="I360" s="180"/>
      <c r="J360" s="180"/>
      <c r="K360" s="180"/>
      <c r="L360" s="180"/>
      <c r="M360" s="180">
        <f t="shared" si="126"/>
        <v>4.5108</v>
      </c>
      <c r="N360" s="180"/>
    </row>
    <row r="361" s="1" customFormat="1" ht="26.25" customHeight="1" spans="1:14">
      <c r="A361" s="168" t="s">
        <v>1915</v>
      </c>
      <c r="B361" s="169" t="s">
        <v>1916</v>
      </c>
      <c r="C361" s="170" t="s">
        <v>1917</v>
      </c>
      <c r="D361" s="169" t="s">
        <v>1439</v>
      </c>
      <c r="E361" s="169" t="s">
        <v>1922</v>
      </c>
      <c r="F361" s="180">
        <f t="shared" si="125"/>
        <v>13.693439</v>
      </c>
      <c r="G361" s="180">
        <v>13.693439</v>
      </c>
      <c r="H361" s="180"/>
      <c r="I361" s="180"/>
      <c r="J361" s="180"/>
      <c r="K361" s="180"/>
      <c r="L361" s="180"/>
      <c r="M361" s="180">
        <f t="shared" si="126"/>
        <v>13.693439</v>
      </c>
      <c r="N361" s="180"/>
    </row>
    <row r="362" s="1" customFormat="1" ht="26.25" customHeight="1" spans="1:14">
      <c r="A362" s="168" t="s">
        <v>1915</v>
      </c>
      <c r="B362" s="169" t="s">
        <v>1916</v>
      </c>
      <c r="C362" s="170" t="s">
        <v>1917</v>
      </c>
      <c r="D362" s="169" t="s">
        <v>1439</v>
      </c>
      <c r="E362" s="169" t="s">
        <v>1923</v>
      </c>
      <c r="F362" s="180">
        <f t="shared" si="125"/>
        <v>4</v>
      </c>
      <c r="G362" s="180">
        <v>4</v>
      </c>
      <c r="H362" s="180"/>
      <c r="I362" s="180"/>
      <c r="J362" s="180"/>
      <c r="K362" s="180"/>
      <c r="L362" s="180"/>
      <c r="M362" s="180">
        <f t="shared" si="126"/>
        <v>4</v>
      </c>
      <c r="N362" s="180"/>
    </row>
    <row r="363" s="1" customFormat="1" ht="26.25" customHeight="1" spans="1:14">
      <c r="A363" s="168" t="s">
        <v>1915</v>
      </c>
      <c r="B363" s="169" t="s">
        <v>1916</v>
      </c>
      <c r="C363" s="170" t="s">
        <v>1917</v>
      </c>
      <c r="D363" s="169" t="s">
        <v>1439</v>
      </c>
      <c r="E363" s="169" t="s">
        <v>1924</v>
      </c>
      <c r="F363" s="180">
        <f t="shared" si="125"/>
        <v>5.141892</v>
      </c>
      <c r="G363" s="180">
        <v>5.141892</v>
      </c>
      <c r="H363" s="180"/>
      <c r="I363" s="180"/>
      <c r="J363" s="180"/>
      <c r="K363" s="180"/>
      <c r="L363" s="180"/>
      <c r="M363" s="180">
        <f t="shared" si="126"/>
        <v>5.141892</v>
      </c>
      <c r="N363" s="180"/>
    </row>
    <row r="364" s="1" customFormat="1" ht="26.25" customHeight="1" spans="1:14">
      <c r="A364" s="168" t="s">
        <v>1915</v>
      </c>
      <c r="B364" s="169" t="s">
        <v>1916</v>
      </c>
      <c r="C364" s="170" t="s">
        <v>1917</v>
      </c>
      <c r="D364" s="169" t="s">
        <v>1439</v>
      </c>
      <c r="E364" s="169" t="s">
        <v>1925</v>
      </c>
      <c r="F364" s="180">
        <f t="shared" si="125"/>
        <v>2.22</v>
      </c>
      <c r="G364" s="180">
        <v>2.22</v>
      </c>
      <c r="H364" s="180"/>
      <c r="I364" s="180"/>
      <c r="J364" s="180"/>
      <c r="K364" s="180"/>
      <c r="L364" s="180"/>
      <c r="M364" s="180">
        <f t="shared" si="126"/>
        <v>2.22</v>
      </c>
      <c r="N364" s="180"/>
    </row>
    <row r="365" s="1" customFormat="1" ht="26.25" customHeight="1" spans="1:14">
      <c r="A365" s="168" t="s">
        <v>1915</v>
      </c>
      <c r="B365" s="169" t="s">
        <v>1916</v>
      </c>
      <c r="C365" s="170" t="s">
        <v>1917</v>
      </c>
      <c r="D365" s="169" t="s">
        <v>1439</v>
      </c>
      <c r="E365" s="169" t="s">
        <v>1926</v>
      </c>
      <c r="F365" s="180">
        <f t="shared" si="125"/>
        <v>0.983687</v>
      </c>
      <c r="G365" s="180">
        <v>0.983687</v>
      </c>
      <c r="H365" s="180"/>
      <c r="I365" s="180"/>
      <c r="J365" s="180"/>
      <c r="K365" s="180"/>
      <c r="L365" s="180"/>
      <c r="M365" s="180">
        <f t="shared" si="126"/>
        <v>0.983687</v>
      </c>
      <c r="N365" s="180"/>
    </row>
    <row r="366" s="1" customFormat="1" ht="26.25" customHeight="1" spans="1:14">
      <c r="A366" s="189" t="s">
        <v>1927</v>
      </c>
      <c r="B366" s="190" t="s">
        <v>1360</v>
      </c>
      <c r="C366" s="191"/>
      <c r="D366" s="192"/>
      <c r="E366" s="192"/>
      <c r="F366" s="167">
        <f t="shared" ref="F366:M366" si="127">SUM(F367:F372)</f>
        <v>162.342138</v>
      </c>
      <c r="G366" s="167">
        <f t="shared" si="127"/>
        <v>162.342138</v>
      </c>
      <c r="H366" s="167">
        <f t="shared" si="127"/>
        <v>0</v>
      </c>
      <c r="I366" s="167">
        <f t="shared" si="127"/>
        <v>0</v>
      </c>
      <c r="J366" s="167">
        <f t="shared" si="127"/>
        <v>44.76</v>
      </c>
      <c r="K366" s="167">
        <f t="shared" si="127"/>
        <v>0</v>
      </c>
      <c r="L366" s="167">
        <f t="shared" si="127"/>
        <v>0</v>
      </c>
      <c r="M366" s="167">
        <f t="shared" si="127"/>
        <v>207.102138</v>
      </c>
      <c r="N366" s="167"/>
    </row>
    <row r="367" s="1" customFormat="1" ht="26.25" customHeight="1" spans="1:14">
      <c r="A367" s="168" t="s">
        <v>1928</v>
      </c>
      <c r="B367" s="169" t="s">
        <v>1929</v>
      </c>
      <c r="C367" s="170" t="s">
        <v>1917</v>
      </c>
      <c r="D367" s="169" t="s">
        <v>1439</v>
      </c>
      <c r="E367" s="169" t="s">
        <v>1930</v>
      </c>
      <c r="F367" s="180">
        <f t="shared" ref="F367:F372" si="128">SUM(G367:H367)</f>
        <v>7.228</v>
      </c>
      <c r="G367" s="180">
        <v>7.228</v>
      </c>
      <c r="H367" s="180"/>
      <c r="I367" s="180"/>
      <c r="J367" s="180"/>
      <c r="K367" s="180"/>
      <c r="L367" s="180"/>
      <c r="M367" s="180">
        <f t="shared" ref="M367:M372" si="129">F367+I367+J367+K367-L367</f>
        <v>7.228</v>
      </c>
      <c r="N367" s="180"/>
    </row>
    <row r="368" s="1" customFormat="1" ht="26.25" customHeight="1" spans="1:14">
      <c r="A368" s="168" t="s">
        <v>1928</v>
      </c>
      <c r="B368" s="169" t="s">
        <v>1929</v>
      </c>
      <c r="C368" s="170" t="s">
        <v>1917</v>
      </c>
      <c r="D368" s="169" t="s">
        <v>1439</v>
      </c>
      <c r="E368" s="169" t="s">
        <v>1931</v>
      </c>
      <c r="F368" s="180">
        <f t="shared" si="128"/>
        <v>8</v>
      </c>
      <c r="G368" s="180">
        <v>8</v>
      </c>
      <c r="H368" s="180"/>
      <c r="I368" s="180"/>
      <c r="J368" s="180"/>
      <c r="K368" s="180"/>
      <c r="L368" s="180"/>
      <c r="M368" s="180">
        <f t="shared" si="129"/>
        <v>8</v>
      </c>
      <c r="N368" s="180"/>
    </row>
    <row r="369" s="1" customFormat="1" ht="26.25" customHeight="1" spans="1:14">
      <c r="A369" s="168" t="s">
        <v>1928</v>
      </c>
      <c r="B369" s="169" t="s">
        <v>1929</v>
      </c>
      <c r="C369" s="170" t="s">
        <v>1917</v>
      </c>
      <c r="D369" s="169" t="s">
        <v>1439</v>
      </c>
      <c r="E369" s="169" t="s">
        <v>1932</v>
      </c>
      <c r="F369" s="180">
        <f t="shared" si="128"/>
        <v>11.917121</v>
      </c>
      <c r="G369" s="180">
        <v>11.917121</v>
      </c>
      <c r="H369" s="180"/>
      <c r="I369" s="180"/>
      <c r="J369" s="180"/>
      <c r="K369" s="180"/>
      <c r="L369" s="180"/>
      <c r="M369" s="180">
        <f t="shared" si="129"/>
        <v>11.917121</v>
      </c>
      <c r="N369" s="180"/>
    </row>
    <row r="370" s="1" customFormat="1" ht="26.25" customHeight="1" spans="1:14">
      <c r="A370" s="168" t="s">
        <v>1928</v>
      </c>
      <c r="B370" s="169" t="s">
        <v>1929</v>
      </c>
      <c r="C370" s="170" t="s">
        <v>1917</v>
      </c>
      <c r="D370" s="169" t="s">
        <v>1439</v>
      </c>
      <c r="E370" s="169" t="s">
        <v>1933</v>
      </c>
      <c r="F370" s="180">
        <f t="shared" si="128"/>
        <v>34.646752</v>
      </c>
      <c r="G370" s="180">
        <v>34.646752</v>
      </c>
      <c r="H370" s="180"/>
      <c r="I370" s="180"/>
      <c r="J370" s="180"/>
      <c r="K370" s="180"/>
      <c r="L370" s="180"/>
      <c r="M370" s="180">
        <f t="shared" si="129"/>
        <v>34.646752</v>
      </c>
      <c r="N370" s="180"/>
    </row>
    <row r="371" s="1" customFormat="1" ht="26.25" customHeight="1" spans="1:14">
      <c r="A371" s="168" t="s">
        <v>1928</v>
      </c>
      <c r="B371" s="169" t="s">
        <v>1929</v>
      </c>
      <c r="C371" s="170" t="s">
        <v>1917</v>
      </c>
      <c r="D371" s="169" t="s">
        <v>1439</v>
      </c>
      <c r="E371" s="169" t="s">
        <v>1934</v>
      </c>
      <c r="F371" s="180">
        <f t="shared" si="128"/>
        <v>4.468921</v>
      </c>
      <c r="G371" s="180">
        <v>4.468921</v>
      </c>
      <c r="H371" s="180"/>
      <c r="I371" s="180"/>
      <c r="J371" s="180"/>
      <c r="K371" s="180"/>
      <c r="L371" s="180"/>
      <c r="M371" s="180">
        <f t="shared" si="129"/>
        <v>4.468921</v>
      </c>
      <c r="N371" s="180"/>
    </row>
    <row r="372" s="1" customFormat="1" ht="26.25" customHeight="1" spans="1:14">
      <c r="A372" s="168" t="s">
        <v>1928</v>
      </c>
      <c r="B372" s="169" t="s">
        <v>1929</v>
      </c>
      <c r="C372" s="170" t="s">
        <v>1917</v>
      </c>
      <c r="D372" s="169" t="s">
        <v>1439</v>
      </c>
      <c r="E372" s="169" t="s">
        <v>1935</v>
      </c>
      <c r="F372" s="180">
        <f t="shared" si="128"/>
        <v>96.081344</v>
      </c>
      <c r="G372" s="180">
        <v>96.081344</v>
      </c>
      <c r="H372" s="180"/>
      <c r="I372" s="180"/>
      <c r="J372" s="180">
        <v>44.76</v>
      </c>
      <c r="K372" s="180"/>
      <c r="L372" s="180"/>
      <c r="M372" s="180">
        <f t="shared" si="129"/>
        <v>140.841344</v>
      </c>
      <c r="N372" s="180"/>
    </row>
    <row r="373" s="1" customFormat="1" ht="26.25" customHeight="1" spans="1:14">
      <c r="A373" s="189" t="s">
        <v>1936</v>
      </c>
      <c r="B373" s="190" t="s">
        <v>1937</v>
      </c>
      <c r="C373" s="191"/>
      <c r="D373" s="192"/>
      <c r="E373" s="192"/>
      <c r="F373" s="167">
        <f t="shared" ref="F373:M373" si="130">SUM(F374:F382)</f>
        <v>241.387658</v>
      </c>
      <c r="G373" s="167">
        <f t="shared" si="130"/>
        <v>241.387658</v>
      </c>
      <c r="H373" s="167">
        <f t="shared" si="130"/>
        <v>0</v>
      </c>
      <c r="I373" s="167">
        <f t="shared" si="130"/>
        <v>0</v>
      </c>
      <c r="J373" s="167">
        <f t="shared" si="130"/>
        <v>2.02</v>
      </c>
      <c r="K373" s="167">
        <f t="shared" si="130"/>
        <v>0</v>
      </c>
      <c r="L373" s="167">
        <f t="shared" si="130"/>
        <v>0</v>
      </c>
      <c r="M373" s="167">
        <f t="shared" si="130"/>
        <v>243.407658</v>
      </c>
      <c r="N373" s="167"/>
    </row>
    <row r="374" s="1" customFormat="1" ht="26.25" customHeight="1" spans="1:14">
      <c r="A374" s="168" t="s">
        <v>1938</v>
      </c>
      <c r="B374" s="169" t="s">
        <v>1939</v>
      </c>
      <c r="C374" s="170" t="s">
        <v>1940</v>
      </c>
      <c r="D374" s="169" t="s">
        <v>1439</v>
      </c>
      <c r="E374" s="169" t="s">
        <v>1941</v>
      </c>
      <c r="F374" s="180">
        <f t="shared" ref="F374:F382" si="131">SUM(G374:H374)</f>
        <v>3.122645</v>
      </c>
      <c r="G374" s="180">
        <v>3.122645</v>
      </c>
      <c r="H374" s="180"/>
      <c r="I374" s="180"/>
      <c r="J374" s="180"/>
      <c r="K374" s="180"/>
      <c r="L374" s="180"/>
      <c r="M374" s="180">
        <f t="shared" ref="M374:M382" si="132">F374+I374+J374+K374-L374</f>
        <v>3.122645</v>
      </c>
      <c r="N374" s="180"/>
    </row>
    <row r="375" s="1" customFormat="1" ht="26.25" customHeight="1" spans="1:14">
      <c r="A375" s="168" t="s">
        <v>1938</v>
      </c>
      <c r="B375" s="169" t="s">
        <v>1939</v>
      </c>
      <c r="C375" s="170" t="s">
        <v>1940</v>
      </c>
      <c r="D375" s="169" t="s">
        <v>1439</v>
      </c>
      <c r="E375" s="169" t="s">
        <v>1942</v>
      </c>
      <c r="F375" s="180">
        <f t="shared" si="131"/>
        <v>6.070379</v>
      </c>
      <c r="G375" s="180">
        <v>6.070379</v>
      </c>
      <c r="H375" s="180"/>
      <c r="I375" s="180"/>
      <c r="J375" s="180"/>
      <c r="K375" s="180"/>
      <c r="L375" s="180"/>
      <c r="M375" s="180">
        <f t="shared" si="132"/>
        <v>6.070379</v>
      </c>
      <c r="N375" s="180"/>
    </row>
    <row r="376" s="1" customFormat="1" ht="26.25" customHeight="1" spans="1:14">
      <c r="A376" s="168" t="s">
        <v>1938</v>
      </c>
      <c r="B376" s="169" t="s">
        <v>1939</v>
      </c>
      <c r="C376" s="170" t="s">
        <v>1940</v>
      </c>
      <c r="D376" s="169" t="s">
        <v>1439</v>
      </c>
      <c r="E376" s="169" t="s">
        <v>1943</v>
      </c>
      <c r="F376" s="180">
        <f t="shared" si="131"/>
        <v>130.8173</v>
      </c>
      <c r="G376" s="180">
        <v>130.8173</v>
      </c>
      <c r="H376" s="180"/>
      <c r="I376" s="180"/>
      <c r="J376" s="180">
        <v>2.02</v>
      </c>
      <c r="K376" s="180"/>
      <c r="L376" s="180"/>
      <c r="M376" s="180">
        <f t="shared" si="132"/>
        <v>132.8373</v>
      </c>
      <c r="N376" s="180"/>
    </row>
    <row r="377" s="1" customFormat="1" ht="26.25" customHeight="1" spans="1:14">
      <c r="A377" s="168" t="s">
        <v>1938</v>
      </c>
      <c r="B377" s="169" t="s">
        <v>1939</v>
      </c>
      <c r="C377" s="170" t="s">
        <v>1940</v>
      </c>
      <c r="D377" s="169" t="s">
        <v>1439</v>
      </c>
      <c r="E377" s="169" t="s">
        <v>1944</v>
      </c>
      <c r="F377" s="180">
        <f t="shared" si="131"/>
        <v>16.187676</v>
      </c>
      <c r="G377" s="180">
        <v>16.187676</v>
      </c>
      <c r="H377" s="180"/>
      <c r="I377" s="180"/>
      <c r="J377" s="180"/>
      <c r="K377" s="180"/>
      <c r="L377" s="180"/>
      <c r="M377" s="180">
        <f t="shared" si="132"/>
        <v>16.187676</v>
      </c>
      <c r="N377" s="180"/>
    </row>
    <row r="378" s="1" customFormat="1" ht="26.25" customHeight="1" spans="1:14">
      <c r="A378" s="168" t="s">
        <v>1938</v>
      </c>
      <c r="B378" s="169" t="s">
        <v>1939</v>
      </c>
      <c r="C378" s="170" t="s">
        <v>1940</v>
      </c>
      <c r="D378" s="169" t="s">
        <v>1439</v>
      </c>
      <c r="E378" s="169" t="s">
        <v>1945</v>
      </c>
      <c r="F378" s="180">
        <f t="shared" si="131"/>
        <v>46.413258</v>
      </c>
      <c r="G378" s="180">
        <v>46.413258</v>
      </c>
      <c r="H378" s="180"/>
      <c r="I378" s="180"/>
      <c r="J378" s="180"/>
      <c r="K378" s="180"/>
      <c r="L378" s="180"/>
      <c r="M378" s="180">
        <f t="shared" si="132"/>
        <v>46.413258</v>
      </c>
      <c r="N378" s="180"/>
    </row>
    <row r="379" s="1" customFormat="1" ht="26.25" customHeight="1" spans="1:14">
      <c r="A379" s="168" t="s">
        <v>1938</v>
      </c>
      <c r="B379" s="169" t="s">
        <v>1939</v>
      </c>
      <c r="C379" s="170" t="s">
        <v>1940</v>
      </c>
      <c r="D379" s="169" t="s">
        <v>1439</v>
      </c>
      <c r="E379" s="169" t="s">
        <v>1946</v>
      </c>
      <c r="F379" s="180">
        <f t="shared" si="131"/>
        <v>0.75</v>
      </c>
      <c r="G379" s="180">
        <v>0.75</v>
      </c>
      <c r="H379" s="180"/>
      <c r="I379" s="180"/>
      <c r="J379" s="180"/>
      <c r="K379" s="180"/>
      <c r="L379" s="180"/>
      <c r="M379" s="180">
        <f t="shared" si="132"/>
        <v>0.75</v>
      </c>
      <c r="N379" s="180"/>
    </row>
    <row r="380" s="1" customFormat="1" ht="26.25" customHeight="1" spans="1:14">
      <c r="A380" s="168" t="s">
        <v>1938</v>
      </c>
      <c r="B380" s="169" t="s">
        <v>1939</v>
      </c>
      <c r="C380" s="170" t="s">
        <v>1940</v>
      </c>
      <c r="D380" s="169" t="s">
        <v>1439</v>
      </c>
      <c r="E380" s="169" t="s">
        <v>1947</v>
      </c>
      <c r="F380" s="180">
        <f t="shared" si="131"/>
        <v>4.08</v>
      </c>
      <c r="G380" s="180">
        <v>4.08</v>
      </c>
      <c r="H380" s="180"/>
      <c r="I380" s="180"/>
      <c r="J380" s="180"/>
      <c r="K380" s="180"/>
      <c r="L380" s="180"/>
      <c r="M380" s="180">
        <f t="shared" si="132"/>
        <v>4.08</v>
      </c>
      <c r="N380" s="180"/>
    </row>
    <row r="381" s="1" customFormat="1" ht="26.25" customHeight="1" spans="1:14">
      <c r="A381" s="168" t="s">
        <v>1938</v>
      </c>
      <c r="B381" s="169" t="s">
        <v>1939</v>
      </c>
      <c r="C381" s="170" t="s">
        <v>1940</v>
      </c>
      <c r="D381" s="169" t="s">
        <v>1439</v>
      </c>
      <c r="E381" s="169" t="s">
        <v>1948</v>
      </c>
      <c r="F381" s="180">
        <f t="shared" si="131"/>
        <v>22.9464</v>
      </c>
      <c r="G381" s="180">
        <v>22.9464</v>
      </c>
      <c r="H381" s="180"/>
      <c r="I381" s="180"/>
      <c r="J381" s="180"/>
      <c r="K381" s="180"/>
      <c r="L381" s="180"/>
      <c r="M381" s="180">
        <f t="shared" si="132"/>
        <v>22.9464</v>
      </c>
      <c r="N381" s="180"/>
    </row>
    <row r="382" s="1" customFormat="1" ht="26.25" customHeight="1" spans="1:14">
      <c r="A382" s="168" t="s">
        <v>1938</v>
      </c>
      <c r="B382" s="169" t="s">
        <v>1939</v>
      </c>
      <c r="C382" s="170" t="s">
        <v>1940</v>
      </c>
      <c r="D382" s="169" t="s">
        <v>1439</v>
      </c>
      <c r="E382" s="169" t="s">
        <v>1949</v>
      </c>
      <c r="F382" s="180">
        <f t="shared" si="131"/>
        <v>11</v>
      </c>
      <c r="G382" s="180">
        <v>11</v>
      </c>
      <c r="H382" s="180"/>
      <c r="I382" s="180"/>
      <c r="J382" s="180"/>
      <c r="K382" s="180"/>
      <c r="L382" s="180"/>
      <c r="M382" s="180">
        <f t="shared" si="132"/>
        <v>11</v>
      </c>
      <c r="N382" s="180"/>
    </row>
    <row r="383" s="1" customFormat="1" ht="26.25" customHeight="1" spans="1:14">
      <c r="A383" s="189" t="s">
        <v>1950</v>
      </c>
      <c r="B383" s="190" t="s">
        <v>1951</v>
      </c>
      <c r="C383" s="191"/>
      <c r="D383" s="192"/>
      <c r="E383" s="192"/>
      <c r="F383" s="167">
        <f t="shared" ref="F383:M383" si="133">SUM(F384:F392)</f>
        <v>1436.580647</v>
      </c>
      <c r="G383" s="167">
        <f t="shared" si="133"/>
        <v>1436.580647</v>
      </c>
      <c r="H383" s="167">
        <f t="shared" si="133"/>
        <v>0</v>
      </c>
      <c r="I383" s="167">
        <f t="shared" si="133"/>
        <v>0</v>
      </c>
      <c r="J383" s="167">
        <f t="shared" si="133"/>
        <v>0</v>
      </c>
      <c r="K383" s="167">
        <f t="shared" si="133"/>
        <v>0</v>
      </c>
      <c r="L383" s="167">
        <f t="shared" si="133"/>
        <v>0</v>
      </c>
      <c r="M383" s="167">
        <f t="shared" si="133"/>
        <v>1436.580647</v>
      </c>
      <c r="N383" s="167"/>
    </row>
    <row r="384" s="1" customFormat="1" ht="26.25" customHeight="1" spans="1:14">
      <c r="A384" s="168" t="s">
        <v>1952</v>
      </c>
      <c r="B384" s="169" t="s">
        <v>1953</v>
      </c>
      <c r="C384" s="170" t="s">
        <v>1954</v>
      </c>
      <c r="D384" s="169" t="s">
        <v>1439</v>
      </c>
      <c r="E384" s="169" t="s">
        <v>1955</v>
      </c>
      <c r="F384" s="180">
        <f t="shared" ref="F384:F392" si="134">SUM(G384:H384)</f>
        <v>12.96</v>
      </c>
      <c r="G384" s="180">
        <v>12.96</v>
      </c>
      <c r="H384" s="180"/>
      <c r="I384" s="180"/>
      <c r="J384" s="180"/>
      <c r="K384" s="180"/>
      <c r="L384" s="180"/>
      <c r="M384" s="180">
        <f t="shared" ref="M384:M392" si="135">F384+I384+J384+K384-L384</f>
        <v>12.96</v>
      </c>
      <c r="N384" s="180"/>
    </row>
    <row r="385" s="1" customFormat="1" ht="26.25" customHeight="1" spans="1:14">
      <c r="A385" s="168" t="s">
        <v>1952</v>
      </c>
      <c r="B385" s="169" t="s">
        <v>1953</v>
      </c>
      <c r="C385" s="170" t="s">
        <v>1954</v>
      </c>
      <c r="D385" s="169" t="s">
        <v>1439</v>
      </c>
      <c r="E385" s="169" t="s">
        <v>1956</v>
      </c>
      <c r="F385" s="180">
        <f t="shared" si="134"/>
        <v>3.643404</v>
      </c>
      <c r="G385" s="180">
        <v>3.643404</v>
      </c>
      <c r="H385" s="180"/>
      <c r="I385" s="180"/>
      <c r="J385" s="180"/>
      <c r="K385" s="180"/>
      <c r="L385" s="180"/>
      <c r="M385" s="180">
        <f t="shared" si="135"/>
        <v>3.643404</v>
      </c>
      <c r="N385" s="180"/>
    </row>
    <row r="386" s="1" customFormat="1" ht="26.25" customHeight="1" spans="1:14">
      <c r="A386" s="168" t="s">
        <v>1952</v>
      </c>
      <c r="B386" s="169" t="s">
        <v>1953</v>
      </c>
      <c r="C386" s="170" t="s">
        <v>1954</v>
      </c>
      <c r="D386" s="169" t="s">
        <v>1439</v>
      </c>
      <c r="E386" s="169" t="s">
        <v>1957</v>
      </c>
      <c r="F386" s="180">
        <f t="shared" si="134"/>
        <v>0.13</v>
      </c>
      <c r="G386" s="180">
        <v>0.13</v>
      </c>
      <c r="H386" s="180"/>
      <c r="I386" s="180"/>
      <c r="J386" s="180"/>
      <c r="K386" s="180"/>
      <c r="L386" s="180"/>
      <c r="M386" s="180">
        <f t="shared" si="135"/>
        <v>0.13</v>
      </c>
      <c r="N386" s="180"/>
    </row>
    <row r="387" s="1" customFormat="1" ht="26.25" customHeight="1" spans="1:14">
      <c r="A387" s="168" t="s">
        <v>1952</v>
      </c>
      <c r="B387" s="169" t="s">
        <v>1953</v>
      </c>
      <c r="C387" s="170" t="s">
        <v>1954</v>
      </c>
      <c r="D387" s="169" t="s">
        <v>1439</v>
      </c>
      <c r="E387" s="169" t="s">
        <v>1958</v>
      </c>
      <c r="F387" s="180">
        <f t="shared" si="134"/>
        <v>35</v>
      </c>
      <c r="G387" s="180">
        <v>35</v>
      </c>
      <c r="H387" s="180"/>
      <c r="I387" s="180"/>
      <c r="J387" s="180"/>
      <c r="K387" s="180"/>
      <c r="L387" s="180"/>
      <c r="M387" s="180">
        <f t="shared" si="135"/>
        <v>35</v>
      </c>
      <c r="N387" s="180"/>
    </row>
    <row r="388" s="1" customFormat="1" ht="26.25" customHeight="1" spans="1:14">
      <c r="A388" s="168" t="s">
        <v>1952</v>
      </c>
      <c r="B388" s="169" t="s">
        <v>1953</v>
      </c>
      <c r="C388" s="170" t="s">
        <v>1954</v>
      </c>
      <c r="D388" s="169" t="s">
        <v>1439</v>
      </c>
      <c r="E388" s="169" t="s">
        <v>1959</v>
      </c>
      <c r="F388" s="180">
        <f t="shared" si="134"/>
        <v>17.756201</v>
      </c>
      <c r="G388" s="180">
        <v>17.756201</v>
      </c>
      <c r="H388" s="180"/>
      <c r="I388" s="180"/>
      <c r="J388" s="180"/>
      <c r="K388" s="180"/>
      <c r="L388" s="180"/>
      <c r="M388" s="180">
        <f t="shared" si="135"/>
        <v>17.756201</v>
      </c>
      <c r="N388" s="180"/>
    </row>
    <row r="389" s="1" customFormat="1" ht="26.25" customHeight="1" spans="1:14">
      <c r="A389" s="168" t="s">
        <v>1952</v>
      </c>
      <c r="B389" s="169" t="s">
        <v>1953</v>
      </c>
      <c r="C389" s="170" t="s">
        <v>1954</v>
      </c>
      <c r="D389" s="169" t="s">
        <v>1439</v>
      </c>
      <c r="E389" s="169" t="s">
        <v>1960</v>
      </c>
      <c r="F389" s="180">
        <f t="shared" si="134"/>
        <v>1187.829129</v>
      </c>
      <c r="G389" s="180">
        <v>1187.829129</v>
      </c>
      <c r="H389" s="180"/>
      <c r="I389" s="180"/>
      <c r="J389" s="180"/>
      <c r="K389" s="180"/>
      <c r="L389" s="180"/>
      <c r="M389" s="180">
        <f t="shared" si="135"/>
        <v>1187.829129</v>
      </c>
      <c r="N389" s="180"/>
    </row>
    <row r="390" s="1" customFormat="1" ht="26.25" customHeight="1" spans="1:14">
      <c r="A390" s="168" t="s">
        <v>1952</v>
      </c>
      <c r="B390" s="169" t="s">
        <v>1953</v>
      </c>
      <c r="C390" s="170" t="s">
        <v>1954</v>
      </c>
      <c r="D390" s="169" t="s">
        <v>1439</v>
      </c>
      <c r="E390" s="169" t="s">
        <v>1961</v>
      </c>
      <c r="F390" s="180">
        <f t="shared" si="134"/>
        <v>131.42347</v>
      </c>
      <c r="G390" s="180">
        <v>131.42347</v>
      </c>
      <c r="H390" s="180"/>
      <c r="I390" s="180"/>
      <c r="J390" s="180"/>
      <c r="K390" s="180"/>
      <c r="L390" s="180"/>
      <c r="M390" s="180">
        <f t="shared" si="135"/>
        <v>131.42347</v>
      </c>
      <c r="N390" s="180"/>
    </row>
    <row r="391" s="1" customFormat="1" ht="26.25" customHeight="1" spans="1:14">
      <c r="A391" s="168" t="s">
        <v>1952</v>
      </c>
      <c r="B391" s="169" t="s">
        <v>1953</v>
      </c>
      <c r="C391" s="170" t="s">
        <v>1954</v>
      </c>
      <c r="D391" s="169" t="s">
        <v>1439</v>
      </c>
      <c r="E391" s="169" t="s">
        <v>1962</v>
      </c>
      <c r="F391" s="180">
        <f t="shared" si="134"/>
        <v>47.349868</v>
      </c>
      <c r="G391" s="180">
        <v>47.349868</v>
      </c>
      <c r="H391" s="180"/>
      <c r="I391" s="180"/>
      <c r="J391" s="180"/>
      <c r="K391" s="180"/>
      <c r="L391" s="180"/>
      <c r="M391" s="180">
        <f t="shared" si="135"/>
        <v>47.349868</v>
      </c>
      <c r="N391" s="180"/>
    </row>
    <row r="392" s="1" customFormat="1" ht="26.25" customHeight="1" spans="1:14">
      <c r="A392" s="168" t="s">
        <v>1952</v>
      </c>
      <c r="B392" s="169" t="s">
        <v>1953</v>
      </c>
      <c r="C392" s="170" t="s">
        <v>1954</v>
      </c>
      <c r="D392" s="169" t="s">
        <v>1439</v>
      </c>
      <c r="E392" s="169" t="s">
        <v>1963</v>
      </c>
      <c r="F392" s="180">
        <f t="shared" si="134"/>
        <v>0.488575</v>
      </c>
      <c r="G392" s="180">
        <v>0.488575</v>
      </c>
      <c r="H392" s="180"/>
      <c r="I392" s="180"/>
      <c r="J392" s="180"/>
      <c r="K392" s="180"/>
      <c r="L392" s="180"/>
      <c r="M392" s="180">
        <f t="shared" si="135"/>
        <v>0.488575</v>
      </c>
      <c r="N392" s="180"/>
    </row>
    <row r="393" s="1" customFormat="1" ht="26.25" customHeight="1" spans="1:14">
      <c r="A393" s="189" t="s">
        <v>1964</v>
      </c>
      <c r="B393" s="190" t="s">
        <v>1965</v>
      </c>
      <c r="C393" s="191"/>
      <c r="D393" s="192"/>
      <c r="E393" s="192"/>
      <c r="F393" s="167">
        <f t="shared" ref="F393:M393" si="136">SUM(F394:F402)</f>
        <v>297.536142</v>
      </c>
      <c r="G393" s="167">
        <f t="shared" si="136"/>
        <v>297.536142</v>
      </c>
      <c r="H393" s="167">
        <f t="shared" si="136"/>
        <v>0</v>
      </c>
      <c r="I393" s="167">
        <f t="shared" si="136"/>
        <v>0</v>
      </c>
      <c r="J393" s="167">
        <f t="shared" si="136"/>
        <v>0</v>
      </c>
      <c r="K393" s="167">
        <f t="shared" si="136"/>
        <v>0</v>
      </c>
      <c r="L393" s="167">
        <f t="shared" si="136"/>
        <v>0</v>
      </c>
      <c r="M393" s="167">
        <f t="shared" si="136"/>
        <v>297.536142</v>
      </c>
      <c r="N393" s="167"/>
    </row>
    <row r="394" s="1" customFormat="1" ht="26.25" customHeight="1" spans="1:14">
      <c r="A394" s="168" t="s">
        <v>1966</v>
      </c>
      <c r="B394" s="169" t="s">
        <v>1967</v>
      </c>
      <c r="C394" s="170" t="s">
        <v>1954</v>
      </c>
      <c r="D394" s="169" t="s">
        <v>1439</v>
      </c>
      <c r="E394" s="169" t="s">
        <v>1968</v>
      </c>
      <c r="F394" s="180">
        <f t="shared" ref="F394:F402" si="137">SUM(G394:H394)</f>
        <v>8.08</v>
      </c>
      <c r="G394" s="180">
        <v>8.08</v>
      </c>
      <c r="H394" s="180"/>
      <c r="I394" s="180"/>
      <c r="J394" s="180"/>
      <c r="K394" s="180"/>
      <c r="L394" s="180"/>
      <c r="M394" s="180">
        <f t="shared" ref="M394:M402" si="138">F394+I394+J394+K394-L394</f>
        <v>8.08</v>
      </c>
      <c r="N394" s="180"/>
    </row>
    <row r="395" s="1" customFormat="1" ht="26.25" customHeight="1" spans="1:14">
      <c r="A395" s="168" t="s">
        <v>1966</v>
      </c>
      <c r="B395" s="169" t="s">
        <v>1967</v>
      </c>
      <c r="C395" s="170" t="s">
        <v>1954</v>
      </c>
      <c r="D395" s="169" t="s">
        <v>1439</v>
      </c>
      <c r="E395" s="169" t="s">
        <v>1969</v>
      </c>
      <c r="F395" s="180">
        <f t="shared" si="137"/>
        <v>14</v>
      </c>
      <c r="G395" s="180">
        <v>14</v>
      </c>
      <c r="H395" s="180"/>
      <c r="I395" s="180"/>
      <c r="J395" s="180"/>
      <c r="K395" s="180"/>
      <c r="L395" s="180"/>
      <c r="M395" s="180">
        <f t="shared" si="138"/>
        <v>14</v>
      </c>
      <c r="N395" s="180"/>
    </row>
    <row r="396" s="1" customFormat="1" ht="26.25" customHeight="1" spans="1:14">
      <c r="A396" s="168" t="s">
        <v>1966</v>
      </c>
      <c r="B396" s="169" t="s">
        <v>1967</v>
      </c>
      <c r="C396" s="170" t="s">
        <v>1954</v>
      </c>
      <c r="D396" s="169" t="s">
        <v>1439</v>
      </c>
      <c r="E396" s="169" t="s">
        <v>1970</v>
      </c>
      <c r="F396" s="180">
        <f t="shared" si="137"/>
        <v>53.632905</v>
      </c>
      <c r="G396" s="180">
        <v>53.632905</v>
      </c>
      <c r="H396" s="180"/>
      <c r="I396" s="180"/>
      <c r="J396" s="180"/>
      <c r="K396" s="180"/>
      <c r="L396" s="180"/>
      <c r="M396" s="180">
        <f t="shared" si="138"/>
        <v>53.632905</v>
      </c>
      <c r="N396" s="180"/>
    </row>
    <row r="397" s="1" customFormat="1" ht="26.25" customHeight="1" spans="1:14">
      <c r="A397" s="168" t="s">
        <v>1966</v>
      </c>
      <c r="B397" s="169" t="s">
        <v>1967</v>
      </c>
      <c r="C397" s="170" t="s">
        <v>1954</v>
      </c>
      <c r="D397" s="169" t="s">
        <v>1439</v>
      </c>
      <c r="E397" s="169" t="s">
        <v>1971</v>
      </c>
      <c r="F397" s="180">
        <f t="shared" si="137"/>
        <v>18.721437</v>
      </c>
      <c r="G397" s="180">
        <v>18.721437</v>
      </c>
      <c r="H397" s="180"/>
      <c r="I397" s="180"/>
      <c r="J397" s="180"/>
      <c r="K397" s="180"/>
      <c r="L397" s="180"/>
      <c r="M397" s="180">
        <f t="shared" si="138"/>
        <v>18.721437</v>
      </c>
      <c r="N397" s="180"/>
    </row>
    <row r="398" s="1" customFormat="1" ht="26.25" customHeight="1" spans="1:14">
      <c r="A398" s="168" t="s">
        <v>1966</v>
      </c>
      <c r="B398" s="169" t="s">
        <v>1967</v>
      </c>
      <c r="C398" s="170" t="s">
        <v>1954</v>
      </c>
      <c r="D398" s="169" t="s">
        <v>1439</v>
      </c>
      <c r="E398" s="169" t="s">
        <v>1972</v>
      </c>
      <c r="F398" s="180">
        <f t="shared" si="137"/>
        <v>7.020539</v>
      </c>
      <c r="G398" s="180">
        <v>7.020539</v>
      </c>
      <c r="H398" s="180"/>
      <c r="I398" s="180"/>
      <c r="J398" s="180"/>
      <c r="K398" s="180"/>
      <c r="L398" s="180"/>
      <c r="M398" s="180">
        <f t="shared" si="138"/>
        <v>7.020539</v>
      </c>
      <c r="N398" s="180"/>
    </row>
    <row r="399" s="1" customFormat="1" ht="26.25" customHeight="1" spans="1:14">
      <c r="A399" s="168" t="s">
        <v>1966</v>
      </c>
      <c r="B399" s="169" t="s">
        <v>1967</v>
      </c>
      <c r="C399" s="170" t="s">
        <v>1954</v>
      </c>
      <c r="D399" s="169" t="s">
        <v>1439</v>
      </c>
      <c r="E399" s="169" t="s">
        <v>1973</v>
      </c>
      <c r="F399" s="180">
        <f t="shared" si="137"/>
        <v>5.979757</v>
      </c>
      <c r="G399" s="180">
        <v>5.979757</v>
      </c>
      <c r="H399" s="180"/>
      <c r="I399" s="180"/>
      <c r="J399" s="180"/>
      <c r="K399" s="180"/>
      <c r="L399" s="180"/>
      <c r="M399" s="180">
        <f t="shared" si="138"/>
        <v>5.979757</v>
      </c>
      <c r="N399" s="180"/>
    </row>
    <row r="400" s="1" customFormat="1" ht="26.25" customHeight="1" spans="1:14">
      <c r="A400" s="168" t="s">
        <v>1966</v>
      </c>
      <c r="B400" s="169" t="s">
        <v>1967</v>
      </c>
      <c r="C400" s="170" t="s">
        <v>1954</v>
      </c>
      <c r="D400" s="169" t="s">
        <v>1439</v>
      </c>
      <c r="E400" s="169" t="s">
        <v>1974</v>
      </c>
      <c r="F400" s="180">
        <f t="shared" si="137"/>
        <v>36.669528</v>
      </c>
      <c r="G400" s="180">
        <v>36.669528</v>
      </c>
      <c r="H400" s="180"/>
      <c r="I400" s="180"/>
      <c r="J400" s="180"/>
      <c r="K400" s="180"/>
      <c r="L400" s="180"/>
      <c r="M400" s="180">
        <f t="shared" si="138"/>
        <v>36.669528</v>
      </c>
      <c r="N400" s="180"/>
    </row>
    <row r="401" s="1" customFormat="1" ht="26.25" customHeight="1" spans="1:14">
      <c r="A401" s="168" t="s">
        <v>1966</v>
      </c>
      <c r="B401" s="169" t="s">
        <v>1967</v>
      </c>
      <c r="C401" s="170" t="s">
        <v>1954</v>
      </c>
      <c r="D401" s="169" t="s">
        <v>1439</v>
      </c>
      <c r="E401" s="169" t="s">
        <v>1975</v>
      </c>
      <c r="F401" s="180">
        <f t="shared" si="137"/>
        <v>151.931976</v>
      </c>
      <c r="G401" s="180">
        <v>151.931976</v>
      </c>
      <c r="H401" s="180"/>
      <c r="I401" s="180"/>
      <c r="J401" s="180"/>
      <c r="K401" s="180"/>
      <c r="L401" s="180"/>
      <c r="M401" s="180">
        <f t="shared" si="138"/>
        <v>151.931976</v>
      </c>
      <c r="N401" s="180"/>
    </row>
    <row r="402" s="1" customFormat="1" ht="26.25" customHeight="1" spans="1:14">
      <c r="A402" s="168" t="s">
        <v>1966</v>
      </c>
      <c r="B402" s="169" t="s">
        <v>1967</v>
      </c>
      <c r="C402" s="170" t="s">
        <v>1954</v>
      </c>
      <c r="D402" s="169" t="s">
        <v>1439</v>
      </c>
      <c r="E402" s="169" t="s">
        <v>1976</v>
      </c>
      <c r="F402" s="180">
        <f t="shared" si="137"/>
        <v>1.5</v>
      </c>
      <c r="G402" s="180">
        <v>1.5</v>
      </c>
      <c r="H402" s="180"/>
      <c r="I402" s="180"/>
      <c r="J402" s="180"/>
      <c r="K402" s="180"/>
      <c r="L402" s="180"/>
      <c r="M402" s="180">
        <f t="shared" si="138"/>
        <v>1.5</v>
      </c>
      <c r="N402" s="180"/>
    </row>
    <row r="403" s="1" customFormat="1" ht="26.25" customHeight="1" spans="1:14">
      <c r="A403" s="189" t="s">
        <v>1977</v>
      </c>
      <c r="B403" s="190" t="s">
        <v>1978</v>
      </c>
      <c r="C403" s="191"/>
      <c r="D403" s="192"/>
      <c r="E403" s="192"/>
      <c r="F403" s="167">
        <f t="shared" ref="F403:M403" si="139">SUM(F404:F412)</f>
        <v>548.9265</v>
      </c>
      <c r="G403" s="167">
        <f t="shared" si="139"/>
        <v>548.9265</v>
      </c>
      <c r="H403" s="167">
        <f t="shared" si="139"/>
        <v>0</v>
      </c>
      <c r="I403" s="167">
        <f t="shared" si="139"/>
        <v>0</v>
      </c>
      <c r="J403" s="167">
        <f t="shared" si="139"/>
        <v>0</v>
      </c>
      <c r="K403" s="167">
        <f t="shared" si="139"/>
        <v>0</v>
      </c>
      <c r="L403" s="167">
        <f t="shared" si="139"/>
        <v>0</v>
      </c>
      <c r="M403" s="167">
        <f t="shared" si="139"/>
        <v>548.9265</v>
      </c>
      <c r="N403" s="167"/>
    </row>
    <row r="404" s="1" customFormat="1" ht="26.25" customHeight="1" spans="1:14">
      <c r="A404" s="168" t="s">
        <v>1979</v>
      </c>
      <c r="B404" s="169" t="s">
        <v>1980</v>
      </c>
      <c r="C404" s="170" t="s">
        <v>1981</v>
      </c>
      <c r="D404" s="169" t="s">
        <v>1439</v>
      </c>
      <c r="E404" s="169" t="s">
        <v>1982</v>
      </c>
      <c r="F404" s="180">
        <f t="shared" ref="F404:F412" si="140">SUM(G404:H404)</f>
        <v>14.228</v>
      </c>
      <c r="G404" s="180">
        <v>14.228</v>
      </c>
      <c r="H404" s="180"/>
      <c r="I404" s="180"/>
      <c r="J404" s="180"/>
      <c r="K404" s="180"/>
      <c r="L404" s="180"/>
      <c r="M404" s="180">
        <f t="shared" ref="M404:M412" si="141">F404+I404+J404+K404-L404</f>
        <v>14.228</v>
      </c>
      <c r="N404" s="180"/>
    </row>
    <row r="405" s="1" customFormat="1" ht="26.25" customHeight="1" spans="1:14">
      <c r="A405" s="168" t="s">
        <v>1979</v>
      </c>
      <c r="B405" s="169" t="s">
        <v>1980</v>
      </c>
      <c r="C405" s="170" t="s">
        <v>1981</v>
      </c>
      <c r="D405" s="169" t="s">
        <v>1439</v>
      </c>
      <c r="E405" s="169" t="s">
        <v>1983</v>
      </c>
      <c r="F405" s="180">
        <f t="shared" si="140"/>
        <v>2.4</v>
      </c>
      <c r="G405" s="180">
        <v>2.4</v>
      </c>
      <c r="H405" s="180"/>
      <c r="I405" s="180"/>
      <c r="J405" s="180"/>
      <c r="K405" s="180"/>
      <c r="L405" s="180"/>
      <c r="M405" s="180">
        <f t="shared" si="141"/>
        <v>2.4</v>
      </c>
      <c r="N405" s="180"/>
    </row>
    <row r="406" s="1" customFormat="1" ht="26.25" customHeight="1" spans="1:14">
      <c r="A406" s="168" t="s">
        <v>1979</v>
      </c>
      <c r="B406" s="169" t="s">
        <v>1980</v>
      </c>
      <c r="C406" s="170" t="s">
        <v>1981</v>
      </c>
      <c r="D406" s="169" t="s">
        <v>1439</v>
      </c>
      <c r="E406" s="169" t="s">
        <v>1984</v>
      </c>
      <c r="F406" s="180">
        <f t="shared" si="140"/>
        <v>9.420444</v>
      </c>
      <c r="G406" s="180">
        <v>9.420444</v>
      </c>
      <c r="H406" s="180"/>
      <c r="I406" s="180"/>
      <c r="J406" s="180"/>
      <c r="K406" s="180"/>
      <c r="L406" s="180"/>
      <c r="M406" s="180">
        <f t="shared" si="141"/>
        <v>9.420444</v>
      </c>
      <c r="N406" s="180"/>
    </row>
    <row r="407" s="1" customFormat="1" ht="26.25" customHeight="1" spans="1:14">
      <c r="A407" s="168" t="s">
        <v>1979</v>
      </c>
      <c r="B407" s="169" t="s">
        <v>1980</v>
      </c>
      <c r="C407" s="170" t="s">
        <v>1981</v>
      </c>
      <c r="D407" s="169" t="s">
        <v>1439</v>
      </c>
      <c r="E407" s="169" t="s">
        <v>1985</v>
      </c>
      <c r="F407" s="180">
        <f t="shared" si="140"/>
        <v>25.121184</v>
      </c>
      <c r="G407" s="180">
        <v>25.121184</v>
      </c>
      <c r="H407" s="180"/>
      <c r="I407" s="180"/>
      <c r="J407" s="180"/>
      <c r="K407" s="180"/>
      <c r="L407" s="180"/>
      <c r="M407" s="180">
        <f t="shared" si="141"/>
        <v>25.121184</v>
      </c>
      <c r="N407" s="180"/>
    </row>
    <row r="408" s="1" customFormat="1" ht="26.25" customHeight="1" spans="1:14">
      <c r="A408" s="168" t="s">
        <v>1979</v>
      </c>
      <c r="B408" s="169" t="s">
        <v>1980</v>
      </c>
      <c r="C408" s="170" t="s">
        <v>1981</v>
      </c>
      <c r="D408" s="169" t="s">
        <v>1439</v>
      </c>
      <c r="E408" s="169" t="s">
        <v>1986</v>
      </c>
      <c r="F408" s="180">
        <f t="shared" si="140"/>
        <v>72.260274</v>
      </c>
      <c r="G408" s="180">
        <v>72.260274</v>
      </c>
      <c r="H408" s="180"/>
      <c r="I408" s="180"/>
      <c r="J408" s="180"/>
      <c r="K408" s="180"/>
      <c r="L408" s="180"/>
      <c r="M408" s="180">
        <f t="shared" si="141"/>
        <v>72.260274</v>
      </c>
      <c r="N408" s="180"/>
    </row>
    <row r="409" s="1" customFormat="1" ht="26.25" customHeight="1" spans="1:14">
      <c r="A409" s="168" t="s">
        <v>1979</v>
      </c>
      <c r="B409" s="169" t="s">
        <v>1980</v>
      </c>
      <c r="C409" s="170" t="s">
        <v>1981</v>
      </c>
      <c r="D409" s="169" t="s">
        <v>1439</v>
      </c>
      <c r="E409" s="169" t="s">
        <v>1987</v>
      </c>
      <c r="F409" s="180">
        <f t="shared" si="140"/>
        <v>300.3005</v>
      </c>
      <c r="G409" s="180">
        <v>300.3005</v>
      </c>
      <c r="H409" s="180"/>
      <c r="I409" s="180"/>
      <c r="J409" s="180"/>
      <c r="K409" s="180"/>
      <c r="L409" s="180"/>
      <c r="M409" s="180">
        <f t="shared" si="141"/>
        <v>300.3005</v>
      </c>
      <c r="N409" s="180"/>
    </row>
    <row r="410" s="1" customFormat="1" ht="26.25" customHeight="1" spans="1:14">
      <c r="A410" s="168" t="s">
        <v>1979</v>
      </c>
      <c r="B410" s="169" t="s">
        <v>1980</v>
      </c>
      <c r="C410" s="170" t="s">
        <v>1981</v>
      </c>
      <c r="D410" s="169" t="s">
        <v>1439</v>
      </c>
      <c r="E410" s="169" t="s">
        <v>1988</v>
      </c>
      <c r="F410" s="180">
        <f t="shared" si="140"/>
        <v>91.7112</v>
      </c>
      <c r="G410" s="180">
        <v>91.7112</v>
      </c>
      <c r="H410" s="180"/>
      <c r="I410" s="180"/>
      <c r="J410" s="180"/>
      <c r="K410" s="180"/>
      <c r="L410" s="180"/>
      <c r="M410" s="180">
        <f t="shared" si="141"/>
        <v>91.7112</v>
      </c>
      <c r="N410" s="180"/>
    </row>
    <row r="411" s="1" customFormat="1" ht="26.25" customHeight="1" spans="1:14">
      <c r="A411" s="168" t="s">
        <v>1979</v>
      </c>
      <c r="B411" s="169" t="s">
        <v>1980</v>
      </c>
      <c r="C411" s="170" t="s">
        <v>1981</v>
      </c>
      <c r="D411" s="169" t="s">
        <v>1439</v>
      </c>
      <c r="E411" s="169" t="s">
        <v>1989</v>
      </c>
      <c r="F411" s="180">
        <f t="shared" si="140"/>
        <v>12.484898</v>
      </c>
      <c r="G411" s="180">
        <v>12.484898</v>
      </c>
      <c r="H411" s="180"/>
      <c r="I411" s="180"/>
      <c r="J411" s="180"/>
      <c r="K411" s="180"/>
      <c r="L411" s="180"/>
      <c r="M411" s="180">
        <f t="shared" si="141"/>
        <v>12.484898</v>
      </c>
      <c r="N411" s="180"/>
    </row>
    <row r="412" s="1" customFormat="1" ht="26.25" customHeight="1" spans="1:14">
      <c r="A412" s="168" t="s">
        <v>1979</v>
      </c>
      <c r="B412" s="169" t="s">
        <v>1980</v>
      </c>
      <c r="C412" s="170" t="s">
        <v>1981</v>
      </c>
      <c r="D412" s="169" t="s">
        <v>1439</v>
      </c>
      <c r="E412" s="169" t="s">
        <v>1990</v>
      </c>
      <c r="F412" s="180">
        <f t="shared" si="140"/>
        <v>21</v>
      </c>
      <c r="G412" s="180">
        <v>21</v>
      </c>
      <c r="H412" s="180"/>
      <c r="I412" s="180"/>
      <c r="J412" s="180"/>
      <c r="K412" s="180"/>
      <c r="L412" s="180"/>
      <c r="M412" s="180">
        <f t="shared" si="141"/>
        <v>21</v>
      </c>
      <c r="N412" s="180"/>
    </row>
    <row r="413" s="1" customFormat="1" ht="26.25" customHeight="1" spans="1:14">
      <c r="A413" s="189" t="s">
        <v>1991</v>
      </c>
      <c r="B413" s="190" t="s">
        <v>1992</v>
      </c>
      <c r="C413" s="191"/>
      <c r="D413" s="192"/>
      <c r="E413" s="192"/>
      <c r="F413" s="167">
        <f t="shared" ref="F413:M413" si="142">SUM(F414:F422)</f>
        <v>374.728198</v>
      </c>
      <c r="G413" s="167">
        <f t="shared" si="142"/>
        <v>374.728198</v>
      </c>
      <c r="H413" s="167">
        <f t="shared" si="142"/>
        <v>0</v>
      </c>
      <c r="I413" s="167">
        <f t="shared" si="142"/>
        <v>0</v>
      </c>
      <c r="J413" s="167">
        <f t="shared" si="142"/>
        <v>0</v>
      </c>
      <c r="K413" s="167">
        <f t="shared" si="142"/>
        <v>0</v>
      </c>
      <c r="L413" s="167">
        <f t="shared" si="142"/>
        <v>0</v>
      </c>
      <c r="M413" s="167">
        <f t="shared" si="142"/>
        <v>374.728198</v>
      </c>
      <c r="N413" s="167"/>
    </row>
    <row r="414" s="1" customFormat="1" ht="26.25" customHeight="1" spans="1:14">
      <c r="A414" s="168" t="s">
        <v>1993</v>
      </c>
      <c r="B414" s="169" t="s">
        <v>1994</v>
      </c>
      <c r="C414" s="170" t="s">
        <v>1981</v>
      </c>
      <c r="D414" s="169" t="s">
        <v>1439</v>
      </c>
      <c r="E414" s="169" t="s">
        <v>1995</v>
      </c>
      <c r="F414" s="180">
        <f t="shared" ref="F414:F422" si="143">SUM(G414:H414)</f>
        <v>18.283236</v>
      </c>
      <c r="G414" s="180">
        <v>18.283236</v>
      </c>
      <c r="H414" s="180"/>
      <c r="I414" s="180"/>
      <c r="J414" s="180"/>
      <c r="K414" s="180"/>
      <c r="L414" s="180"/>
      <c r="M414" s="180">
        <f t="shared" ref="M414:M422" si="144">F414+I414+J414+K414-L414</f>
        <v>18.283236</v>
      </c>
      <c r="N414" s="180"/>
    </row>
    <row r="415" s="1" customFormat="1" ht="26.25" customHeight="1" spans="1:14">
      <c r="A415" s="168" t="s">
        <v>1993</v>
      </c>
      <c r="B415" s="169" t="s">
        <v>1994</v>
      </c>
      <c r="C415" s="170" t="s">
        <v>1981</v>
      </c>
      <c r="D415" s="169" t="s">
        <v>1439</v>
      </c>
      <c r="E415" s="169" t="s">
        <v>1996</v>
      </c>
      <c r="F415" s="180">
        <f t="shared" si="143"/>
        <v>8.86</v>
      </c>
      <c r="G415" s="180">
        <v>8.86</v>
      </c>
      <c r="H415" s="180"/>
      <c r="I415" s="180"/>
      <c r="J415" s="180"/>
      <c r="K415" s="180"/>
      <c r="L415" s="180"/>
      <c r="M415" s="180">
        <f t="shared" si="144"/>
        <v>8.86</v>
      </c>
      <c r="N415" s="180"/>
    </row>
    <row r="416" s="1" customFormat="1" ht="26.25" customHeight="1" spans="1:14">
      <c r="A416" s="168" t="s">
        <v>1993</v>
      </c>
      <c r="B416" s="169" t="s">
        <v>1994</v>
      </c>
      <c r="C416" s="170" t="s">
        <v>1981</v>
      </c>
      <c r="D416" s="169" t="s">
        <v>1439</v>
      </c>
      <c r="E416" s="169" t="s">
        <v>1997</v>
      </c>
      <c r="F416" s="180">
        <f t="shared" si="143"/>
        <v>12</v>
      </c>
      <c r="G416" s="180">
        <v>12</v>
      </c>
      <c r="H416" s="180"/>
      <c r="I416" s="180"/>
      <c r="J416" s="180"/>
      <c r="K416" s="180"/>
      <c r="L416" s="180"/>
      <c r="M416" s="180">
        <f t="shared" si="144"/>
        <v>12</v>
      </c>
      <c r="N416" s="180"/>
    </row>
    <row r="417" s="1" customFormat="1" ht="26.25" customHeight="1" spans="1:14">
      <c r="A417" s="168" t="s">
        <v>1993</v>
      </c>
      <c r="B417" s="169" t="s">
        <v>1994</v>
      </c>
      <c r="C417" s="170" t="s">
        <v>1981</v>
      </c>
      <c r="D417" s="169" t="s">
        <v>1439</v>
      </c>
      <c r="E417" s="169" t="s">
        <v>1998</v>
      </c>
      <c r="F417" s="180">
        <f t="shared" si="143"/>
        <v>52.591041</v>
      </c>
      <c r="G417" s="180">
        <v>52.591041</v>
      </c>
      <c r="H417" s="180"/>
      <c r="I417" s="180"/>
      <c r="J417" s="180"/>
      <c r="K417" s="180"/>
      <c r="L417" s="180"/>
      <c r="M417" s="180">
        <f t="shared" si="144"/>
        <v>52.591041</v>
      </c>
      <c r="N417" s="180"/>
    </row>
    <row r="418" s="1" customFormat="1" ht="26.25" customHeight="1" spans="1:14">
      <c r="A418" s="168" t="s">
        <v>1993</v>
      </c>
      <c r="B418" s="169" t="s">
        <v>1994</v>
      </c>
      <c r="C418" s="170" t="s">
        <v>1981</v>
      </c>
      <c r="D418" s="169" t="s">
        <v>1439</v>
      </c>
      <c r="E418" s="169" t="s">
        <v>1999</v>
      </c>
      <c r="F418" s="180">
        <f t="shared" si="143"/>
        <v>6.856214</v>
      </c>
      <c r="G418" s="180">
        <v>6.856214</v>
      </c>
      <c r="H418" s="180"/>
      <c r="I418" s="180"/>
      <c r="J418" s="180"/>
      <c r="K418" s="180"/>
      <c r="L418" s="180"/>
      <c r="M418" s="180">
        <f t="shared" si="144"/>
        <v>6.856214</v>
      </c>
      <c r="N418" s="180"/>
    </row>
    <row r="419" s="1" customFormat="1" ht="26.25" customHeight="1" spans="1:14">
      <c r="A419" s="168" t="s">
        <v>1993</v>
      </c>
      <c r="B419" s="169" t="s">
        <v>1994</v>
      </c>
      <c r="C419" s="170" t="s">
        <v>1981</v>
      </c>
      <c r="D419" s="169" t="s">
        <v>1439</v>
      </c>
      <c r="E419" s="169" t="s">
        <v>2000</v>
      </c>
      <c r="F419" s="180">
        <f t="shared" si="143"/>
        <v>191.5003</v>
      </c>
      <c r="G419" s="180">
        <v>191.5003</v>
      </c>
      <c r="H419" s="180"/>
      <c r="I419" s="180"/>
      <c r="J419" s="180"/>
      <c r="K419" s="180"/>
      <c r="L419" s="180"/>
      <c r="M419" s="180">
        <f t="shared" si="144"/>
        <v>191.5003</v>
      </c>
      <c r="N419" s="180"/>
    </row>
    <row r="420" s="1" customFormat="1" ht="26.25" customHeight="1" spans="1:14">
      <c r="A420" s="168" t="s">
        <v>1993</v>
      </c>
      <c r="B420" s="169" t="s">
        <v>1994</v>
      </c>
      <c r="C420" s="170" t="s">
        <v>1981</v>
      </c>
      <c r="D420" s="169" t="s">
        <v>1439</v>
      </c>
      <c r="E420" s="169" t="s">
        <v>2001</v>
      </c>
      <c r="F420" s="180">
        <f t="shared" si="143"/>
        <v>1.3</v>
      </c>
      <c r="G420" s="180">
        <v>1.3</v>
      </c>
      <c r="H420" s="180"/>
      <c r="I420" s="180"/>
      <c r="J420" s="180"/>
      <c r="K420" s="180"/>
      <c r="L420" s="180"/>
      <c r="M420" s="180">
        <f t="shared" si="144"/>
        <v>1.3</v>
      </c>
      <c r="N420" s="180"/>
    </row>
    <row r="421" s="1" customFormat="1" ht="26.25" customHeight="1" spans="1:14">
      <c r="A421" s="168" t="s">
        <v>1993</v>
      </c>
      <c r="B421" s="169" t="s">
        <v>1994</v>
      </c>
      <c r="C421" s="170" t="s">
        <v>1981</v>
      </c>
      <c r="D421" s="169" t="s">
        <v>1439</v>
      </c>
      <c r="E421" s="169" t="s">
        <v>2002</v>
      </c>
      <c r="F421" s="180">
        <f t="shared" si="143"/>
        <v>9.096611</v>
      </c>
      <c r="G421" s="180">
        <v>9.096611</v>
      </c>
      <c r="H421" s="180"/>
      <c r="I421" s="180"/>
      <c r="J421" s="180"/>
      <c r="K421" s="180"/>
      <c r="L421" s="180"/>
      <c r="M421" s="180">
        <f t="shared" si="144"/>
        <v>9.096611</v>
      </c>
      <c r="N421" s="180"/>
    </row>
    <row r="422" s="1" customFormat="1" ht="26.25" customHeight="1" spans="1:14">
      <c r="A422" s="168" t="s">
        <v>1993</v>
      </c>
      <c r="B422" s="169" t="s">
        <v>1994</v>
      </c>
      <c r="C422" s="170" t="s">
        <v>1981</v>
      </c>
      <c r="D422" s="169" t="s">
        <v>1439</v>
      </c>
      <c r="E422" s="169" t="s">
        <v>2003</v>
      </c>
      <c r="F422" s="180">
        <f t="shared" si="143"/>
        <v>74.240796</v>
      </c>
      <c r="G422" s="180">
        <v>74.240796</v>
      </c>
      <c r="H422" s="180"/>
      <c r="I422" s="180"/>
      <c r="J422" s="180"/>
      <c r="K422" s="180"/>
      <c r="L422" s="180"/>
      <c r="M422" s="180">
        <f t="shared" si="144"/>
        <v>74.240796</v>
      </c>
      <c r="N422" s="180"/>
    </row>
    <row r="423" s="1" customFormat="1" ht="26.25" customHeight="1" spans="1:14">
      <c r="A423" s="189" t="s">
        <v>2004</v>
      </c>
      <c r="B423" s="190" t="s">
        <v>2005</v>
      </c>
      <c r="C423" s="191"/>
      <c r="D423" s="192"/>
      <c r="E423" s="192"/>
      <c r="F423" s="167">
        <f t="shared" ref="F423:M423" si="145">SUM(F424:F432)</f>
        <v>227.001889</v>
      </c>
      <c r="G423" s="167">
        <f t="shared" si="145"/>
        <v>227.001889</v>
      </c>
      <c r="H423" s="167">
        <f t="shared" si="145"/>
        <v>0</v>
      </c>
      <c r="I423" s="167">
        <f t="shared" si="145"/>
        <v>0</v>
      </c>
      <c r="J423" s="167">
        <f t="shared" si="145"/>
        <v>0</v>
      </c>
      <c r="K423" s="167">
        <f t="shared" si="145"/>
        <v>0</v>
      </c>
      <c r="L423" s="167">
        <f t="shared" si="145"/>
        <v>0</v>
      </c>
      <c r="M423" s="167">
        <f t="shared" si="145"/>
        <v>227.001889</v>
      </c>
      <c r="N423" s="167"/>
    </row>
    <row r="424" s="1" customFormat="1" ht="26.25" customHeight="1" spans="1:14">
      <c r="A424" s="168" t="s">
        <v>2006</v>
      </c>
      <c r="B424" s="169" t="s">
        <v>2007</v>
      </c>
      <c r="C424" s="170" t="s">
        <v>1981</v>
      </c>
      <c r="D424" s="169" t="s">
        <v>1439</v>
      </c>
      <c r="E424" s="169" t="s">
        <v>2008</v>
      </c>
      <c r="F424" s="180">
        <f t="shared" ref="F424:F432" si="146">SUM(G424:H424)</f>
        <v>8</v>
      </c>
      <c r="G424" s="180">
        <v>8</v>
      </c>
      <c r="H424" s="180"/>
      <c r="I424" s="180"/>
      <c r="J424" s="180"/>
      <c r="K424" s="180"/>
      <c r="L424" s="180"/>
      <c r="M424" s="180">
        <f t="shared" ref="M424:M432" si="147">F424+I424+J424+K424-L424</f>
        <v>8</v>
      </c>
      <c r="N424" s="180"/>
    </row>
    <row r="425" s="1" customFormat="1" ht="26.25" customHeight="1" spans="1:14">
      <c r="A425" s="168" t="s">
        <v>2006</v>
      </c>
      <c r="B425" s="169" t="s">
        <v>2007</v>
      </c>
      <c r="C425" s="170" t="s">
        <v>1981</v>
      </c>
      <c r="D425" s="169" t="s">
        <v>1439</v>
      </c>
      <c r="E425" s="169" t="s">
        <v>2009</v>
      </c>
      <c r="F425" s="180">
        <f t="shared" si="146"/>
        <v>4.695034</v>
      </c>
      <c r="G425" s="180">
        <v>4.695034</v>
      </c>
      <c r="H425" s="180"/>
      <c r="I425" s="180"/>
      <c r="J425" s="180"/>
      <c r="K425" s="180"/>
      <c r="L425" s="180"/>
      <c r="M425" s="180">
        <f t="shared" si="147"/>
        <v>4.695034</v>
      </c>
      <c r="N425" s="180"/>
    </row>
    <row r="426" s="1" customFormat="1" ht="26.25" customHeight="1" spans="1:14">
      <c r="A426" s="168" t="s">
        <v>2006</v>
      </c>
      <c r="B426" s="169" t="s">
        <v>2007</v>
      </c>
      <c r="C426" s="170" t="s">
        <v>1981</v>
      </c>
      <c r="D426" s="169" t="s">
        <v>1439</v>
      </c>
      <c r="E426" s="169" t="s">
        <v>2010</v>
      </c>
      <c r="F426" s="180">
        <f t="shared" si="146"/>
        <v>51.84</v>
      </c>
      <c r="G426" s="180">
        <v>51.84</v>
      </c>
      <c r="H426" s="180"/>
      <c r="I426" s="180"/>
      <c r="J426" s="180"/>
      <c r="K426" s="180"/>
      <c r="L426" s="180"/>
      <c r="M426" s="180">
        <f t="shared" si="147"/>
        <v>51.84</v>
      </c>
      <c r="N426" s="180"/>
    </row>
    <row r="427" s="1" customFormat="1" ht="26.25" customHeight="1" spans="1:14">
      <c r="A427" s="168" t="s">
        <v>2006</v>
      </c>
      <c r="B427" s="169" t="s">
        <v>2007</v>
      </c>
      <c r="C427" s="170" t="s">
        <v>1981</v>
      </c>
      <c r="D427" s="169" t="s">
        <v>1439</v>
      </c>
      <c r="E427" s="169" t="s">
        <v>2011</v>
      </c>
      <c r="F427" s="180">
        <f t="shared" si="146"/>
        <v>12.52009</v>
      </c>
      <c r="G427" s="180">
        <v>12.52009</v>
      </c>
      <c r="H427" s="180"/>
      <c r="I427" s="180"/>
      <c r="J427" s="180"/>
      <c r="K427" s="180"/>
      <c r="L427" s="180"/>
      <c r="M427" s="180">
        <f t="shared" si="147"/>
        <v>12.52009</v>
      </c>
      <c r="N427" s="180"/>
    </row>
    <row r="428" s="1" customFormat="1" ht="26.25" customHeight="1" spans="1:14">
      <c r="A428" s="168" t="s">
        <v>2006</v>
      </c>
      <c r="B428" s="169" t="s">
        <v>2007</v>
      </c>
      <c r="C428" s="170" t="s">
        <v>1981</v>
      </c>
      <c r="D428" s="169" t="s">
        <v>1439</v>
      </c>
      <c r="E428" s="169" t="s">
        <v>2012</v>
      </c>
      <c r="F428" s="180">
        <f t="shared" si="146"/>
        <v>1.655972</v>
      </c>
      <c r="G428" s="180">
        <v>1.655972</v>
      </c>
      <c r="H428" s="180"/>
      <c r="I428" s="180"/>
      <c r="J428" s="180"/>
      <c r="K428" s="180"/>
      <c r="L428" s="180"/>
      <c r="M428" s="180">
        <f t="shared" si="147"/>
        <v>1.655972</v>
      </c>
      <c r="N428" s="180"/>
    </row>
    <row r="429" s="1" customFormat="1" ht="26.25" customHeight="1" spans="1:14">
      <c r="A429" s="168" t="s">
        <v>2006</v>
      </c>
      <c r="B429" s="169" t="s">
        <v>2007</v>
      </c>
      <c r="C429" s="170" t="s">
        <v>1981</v>
      </c>
      <c r="D429" s="169" t="s">
        <v>1439</v>
      </c>
      <c r="E429" s="169" t="s">
        <v>2013</v>
      </c>
      <c r="F429" s="180">
        <f t="shared" si="146"/>
        <v>100.49408</v>
      </c>
      <c r="G429" s="180">
        <v>100.49408</v>
      </c>
      <c r="H429" s="180"/>
      <c r="I429" s="180"/>
      <c r="J429" s="180"/>
      <c r="K429" s="180"/>
      <c r="L429" s="180"/>
      <c r="M429" s="180">
        <f t="shared" si="147"/>
        <v>100.49408</v>
      </c>
      <c r="N429" s="180"/>
    </row>
    <row r="430" s="1" customFormat="1" ht="26.25" customHeight="1" spans="1:14">
      <c r="A430" s="168" t="s">
        <v>2006</v>
      </c>
      <c r="B430" s="169" t="s">
        <v>2007</v>
      </c>
      <c r="C430" s="170" t="s">
        <v>1981</v>
      </c>
      <c r="D430" s="169" t="s">
        <v>1439</v>
      </c>
      <c r="E430" s="169" t="s">
        <v>2014</v>
      </c>
      <c r="F430" s="180">
        <f t="shared" si="146"/>
        <v>13.2828</v>
      </c>
      <c r="G430" s="180">
        <v>13.2828</v>
      </c>
      <c r="H430" s="180"/>
      <c r="I430" s="180"/>
      <c r="J430" s="180"/>
      <c r="K430" s="180"/>
      <c r="L430" s="180"/>
      <c r="M430" s="180">
        <f t="shared" si="147"/>
        <v>13.2828</v>
      </c>
      <c r="N430" s="180"/>
    </row>
    <row r="431" s="1" customFormat="1" ht="26.25" customHeight="1" spans="1:14">
      <c r="A431" s="168" t="s">
        <v>2006</v>
      </c>
      <c r="B431" s="169" t="s">
        <v>2007</v>
      </c>
      <c r="C431" s="170" t="s">
        <v>1981</v>
      </c>
      <c r="D431" s="169" t="s">
        <v>1439</v>
      </c>
      <c r="E431" s="169" t="s">
        <v>2015</v>
      </c>
      <c r="F431" s="180">
        <f t="shared" si="146"/>
        <v>0.3</v>
      </c>
      <c r="G431" s="180">
        <v>0.3</v>
      </c>
      <c r="H431" s="180"/>
      <c r="I431" s="180"/>
      <c r="J431" s="180"/>
      <c r="K431" s="180"/>
      <c r="L431" s="180"/>
      <c r="M431" s="180">
        <f t="shared" si="147"/>
        <v>0.3</v>
      </c>
      <c r="N431" s="180"/>
    </row>
    <row r="432" s="1" customFormat="1" ht="26.25" customHeight="1" spans="1:14">
      <c r="A432" s="168" t="s">
        <v>2006</v>
      </c>
      <c r="B432" s="169" t="s">
        <v>2007</v>
      </c>
      <c r="C432" s="170" t="s">
        <v>1981</v>
      </c>
      <c r="D432" s="169" t="s">
        <v>1439</v>
      </c>
      <c r="E432" s="169" t="s">
        <v>2016</v>
      </c>
      <c r="F432" s="180">
        <f t="shared" si="146"/>
        <v>34.213913</v>
      </c>
      <c r="G432" s="180">
        <v>34.213913</v>
      </c>
      <c r="H432" s="180"/>
      <c r="I432" s="180"/>
      <c r="J432" s="180"/>
      <c r="K432" s="180"/>
      <c r="L432" s="180"/>
      <c r="M432" s="180">
        <f t="shared" si="147"/>
        <v>34.213913</v>
      </c>
      <c r="N432" s="180"/>
    </row>
    <row r="433" s="1" customFormat="1" ht="26.25" customHeight="1" spans="1:14">
      <c r="A433" s="189" t="s">
        <v>2017</v>
      </c>
      <c r="B433" s="190" t="s">
        <v>2018</v>
      </c>
      <c r="C433" s="191"/>
      <c r="D433" s="192"/>
      <c r="E433" s="192"/>
      <c r="F433" s="167">
        <f t="shared" ref="F433:M433" si="148">SUM(F434:F439)</f>
        <v>210.396375</v>
      </c>
      <c r="G433" s="167">
        <f t="shared" si="148"/>
        <v>210.396375</v>
      </c>
      <c r="H433" s="167">
        <f t="shared" si="148"/>
        <v>0</v>
      </c>
      <c r="I433" s="167">
        <f t="shared" si="148"/>
        <v>0</v>
      </c>
      <c r="J433" s="167">
        <f t="shared" si="148"/>
        <v>55.45</v>
      </c>
      <c r="K433" s="167">
        <f t="shared" si="148"/>
        <v>0</v>
      </c>
      <c r="L433" s="167">
        <f t="shared" si="148"/>
        <v>0</v>
      </c>
      <c r="M433" s="167">
        <f t="shared" si="148"/>
        <v>265.846375</v>
      </c>
      <c r="N433" s="167"/>
    </row>
    <row r="434" s="1" customFormat="1" ht="26.25" customHeight="1" spans="1:14">
      <c r="A434" s="168" t="s">
        <v>2019</v>
      </c>
      <c r="B434" s="169" t="s">
        <v>2020</v>
      </c>
      <c r="C434" s="170" t="s">
        <v>2021</v>
      </c>
      <c r="D434" s="169" t="s">
        <v>1439</v>
      </c>
      <c r="E434" s="169" t="s">
        <v>2022</v>
      </c>
      <c r="F434" s="180">
        <f t="shared" ref="F434:F439" si="149">SUM(G434:H434)</f>
        <v>15.413712</v>
      </c>
      <c r="G434" s="180">
        <v>15.413712</v>
      </c>
      <c r="H434" s="180"/>
      <c r="I434" s="180"/>
      <c r="J434" s="180"/>
      <c r="K434" s="180"/>
      <c r="L434" s="180"/>
      <c r="M434" s="180">
        <f t="shared" ref="M434:M439" si="150">F434+I434+J434+K434-L434</f>
        <v>15.413712</v>
      </c>
      <c r="N434" s="180"/>
    </row>
    <row r="435" s="1" customFormat="1" ht="26.25" customHeight="1" spans="1:14">
      <c r="A435" s="168" t="s">
        <v>2019</v>
      </c>
      <c r="B435" s="169" t="s">
        <v>2020</v>
      </c>
      <c r="C435" s="170" t="s">
        <v>2021</v>
      </c>
      <c r="D435" s="169" t="s">
        <v>1439</v>
      </c>
      <c r="E435" s="169" t="s">
        <v>2023</v>
      </c>
      <c r="F435" s="180">
        <f t="shared" si="149"/>
        <v>43.754921</v>
      </c>
      <c r="G435" s="180">
        <v>43.754921</v>
      </c>
      <c r="H435" s="180"/>
      <c r="I435" s="180"/>
      <c r="J435" s="180"/>
      <c r="K435" s="180"/>
      <c r="L435" s="180"/>
      <c r="M435" s="180">
        <f t="shared" si="150"/>
        <v>43.754921</v>
      </c>
      <c r="N435" s="180"/>
    </row>
    <row r="436" s="1" customFormat="1" ht="26.25" customHeight="1" spans="1:14">
      <c r="A436" s="168" t="s">
        <v>2019</v>
      </c>
      <c r="B436" s="169" t="s">
        <v>2020</v>
      </c>
      <c r="C436" s="170" t="s">
        <v>2021</v>
      </c>
      <c r="D436" s="169" t="s">
        <v>1439</v>
      </c>
      <c r="E436" s="169" t="s">
        <v>2024</v>
      </c>
      <c r="F436" s="180">
        <f t="shared" si="149"/>
        <v>12.62</v>
      </c>
      <c r="G436" s="180">
        <v>12.62</v>
      </c>
      <c r="H436" s="180"/>
      <c r="I436" s="180"/>
      <c r="J436" s="180"/>
      <c r="K436" s="180"/>
      <c r="L436" s="180"/>
      <c r="M436" s="180">
        <f t="shared" si="150"/>
        <v>12.62</v>
      </c>
      <c r="N436" s="180"/>
    </row>
    <row r="437" s="1" customFormat="1" ht="26.25" customHeight="1" spans="1:14">
      <c r="A437" s="168" t="s">
        <v>2019</v>
      </c>
      <c r="B437" s="169" t="s">
        <v>2020</v>
      </c>
      <c r="C437" s="170" t="s">
        <v>2021</v>
      </c>
      <c r="D437" s="169" t="s">
        <v>1439</v>
      </c>
      <c r="E437" s="169" t="s">
        <v>2025</v>
      </c>
      <c r="F437" s="180">
        <f t="shared" si="149"/>
        <v>123.8276</v>
      </c>
      <c r="G437" s="180">
        <v>123.8276</v>
      </c>
      <c r="H437" s="180"/>
      <c r="I437" s="180"/>
      <c r="J437" s="180">
        <v>55.45</v>
      </c>
      <c r="K437" s="180"/>
      <c r="L437" s="180"/>
      <c r="M437" s="180">
        <f t="shared" si="150"/>
        <v>179.2776</v>
      </c>
      <c r="N437" s="180"/>
    </row>
    <row r="438" s="1" customFormat="1" ht="26.25" customHeight="1" spans="1:14">
      <c r="A438" s="168" t="s">
        <v>2019</v>
      </c>
      <c r="B438" s="169" t="s">
        <v>2020</v>
      </c>
      <c r="C438" s="170" t="s">
        <v>2021</v>
      </c>
      <c r="D438" s="169" t="s">
        <v>1439</v>
      </c>
      <c r="E438" s="169" t="s">
        <v>2026</v>
      </c>
      <c r="F438" s="180">
        <f t="shared" si="149"/>
        <v>5.780142</v>
      </c>
      <c r="G438" s="180">
        <v>5.780142</v>
      </c>
      <c r="H438" s="180"/>
      <c r="I438" s="180"/>
      <c r="J438" s="180"/>
      <c r="K438" s="180"/>
      <c r="L438" s="180"/>
      <c r="M438" s="180">
        <f t="shared" si="150"/>
        <v>5.780142</v>
      </c>
      <c r="N438" s="180"/>
    </row>
    <row r="439" s="1" customFormat="1" ht="26.25" customHeight="1" spans="1:14">
      <c r="A439" s="168" t="s">
        <v>2019</v>
      </c>
      <c r="B439" s="169" t="s">
        <v>2020</v>
      </c>
      <c r="C439" s="170" t="s">
        <v>2021</v>
      </c>
      <c r="D439" s="169" t="s">
        <v>1439</v>
      </c>
      <c r="E439" s="169" t="s">
        <v>2027</v>
      </c>
      <c r="F439" s="180">
        <f t="shared" si="149"/>
        <v>9</v>
      </c>
      <c r="G439" s="180">
        <v>9</v>
      </c>
      <c r="H439" s="180"/>
      <c r="I439" s="180"/>
      <c r="J439" s="180"/>
      <c r="K439" s="180"/>
      <c r="L439" s="180"/>
      <c r="M439" s="180">
        <f t="shared" si="150"/>
        <v>9</v>
      </c>
      <c r="N439" s="180"/>
    </row>
    <row r="440" s="1" customFormat="1" ht="26.25" customHeight="1" spans="1:14">
      <c r="A440" s="189" t="s">
        <v>2028</v>
      </c>
      <c r="B440" s="190" t="s">
        <v>2029</v>
      </c>
      <c r="C440" s="191"/>
      <c r="D440" s="192"/>
      <c r="E440" s="192"/>
      <c r="F440" s="167">
        <f t="shared" ref="F440:M440" si="151">SUM(F441:F449)</f>
        <v>381.228037</v>
      </c>
      <c r="G440" s="167">
        <f t="shared" si="151"/>
        <v>381.228037</v>
      </c>
      <c r="H440" s="167">
        <f t="shared" si="151"/>
        <v>0</v>
      </c>
      <c r="I440" s="167">
        <f t="shared" si="151"/>
        <v>0</v>
      </c>
      <c r="J440" s="167">
        <f t="shared" si="151"/>
        <v>84</v>
      </c>
      <c r="K440" s="167">
        <f t="shared" si="151"/>
        <v>0</v>
      </c>
      <c r="L440" s="167">
        <f t="shared" si="151"/>
        <v>0</v>
      </c>
      <c r="M440" s="167">
        <f t="shared" si="151"/>
        <v>465.228037</v>
      </c>
      <c r="N440" s="167"/>
    </row>
    <row r="441" s="1" customFormat="1" ht="26.25" customHeight="1" spans="1:14">
      <c r="A441" s="168" t="s">
        <v>2030</v>
      </c>
      <c r="B441" s="169" t="s">
        <v>2031</v>
      </c>
      <c r="C441" s="170" t="s">
        <v>2032</v>
      </c>
      <c r="D441" s="169" t="s">
        <v>1439</v>
      </c>
      <c r="E441" s="169" t="s">
        <v>2033</v>
      </c>
      <c r="F441" s="180">
        <f t="shared" ref="F441:F449" si="152">SUM(G441:H441)</f>
        <v>0.2</v>
      </c>
      <c r="G441" s="180">
        <v>0.2</v>
      </c>
      <c r="H441" s="180"/>
      <c r="I441" s="180"/>
      <c r="J441" s="180"/>
      <c r="K441" s="180"/>
      <c r="L441" s="180"/>
      <c r="M441" s="180">
        <f t="shared" ref="M441:M449" si="153">F441+I441+J441+K441-L441</f>
        <v>0.2</v>
      </c>
      <c r="N441" s="180"/>
    </row>
    <row r="442" s="1" customFormat="1" ht="26.25" customHeight="1" spans="1:14">
      <c r="A442" s="168" t="s">
        <v>2030</v>
      </c>
      <c r="B442" s="169" t="s">
        <v>2031</v>
      </c>
      <c r="C442" s="170" t="s">
        <v>2032</v>
      </c>
      <c r="D442" s="169" t="s">
        <v>1439</v>
      </c>
      <c r="E442" s="169" t="s">
        <v>2034</v>
      </c>
      <c r="F442" s="180">
        <f t="shared" si="152"/>
        <v>78.815379</v>
      </c>
      <c r="G442" s="180">
        <v>78.815379</v>
      </c>
      <c r="H442" s="180"/>
      <c r="I442" s="180"/>
      <c r="J442" s="180"/>
      <c r="K442" s="180"/>
      <c r="L442" s="180"/>
      <c r="M442" s="180">
        <f t="shared" si="153"/>
        <v>78.815379</v>
      </c>
      <c r="N442" s="180"/>
    </row>
    <row r="443" s="1" customFormat="1" ht="26.25" customHeight="1" spans="1:14">
      <c r="A443" s="168" t="s">
        <v>2030</v>
      </c>
      <c r="B443" s="169" t="s">
        <v>2031</v>
      </c>
      <c r="C443" s="170" t="s">
        <v>2032</v>
      </c>
      <c r="D443" s="169" t="s">
        <v>1439</v>
      </c>
      <c r="E443" s="169" t="s">
        <v>2035</v>
      </c>
      <c r="F443" s="180">
        <f t="shared" si="152"/>
        <v>10.212165</v>
      </c>
      <c r="G443" s="180">
        <v>10.212165</v>
      </c>
      <c r="H443" s="180"/>
      <c r="I443" s="180"/>
      <c r="J443" s="180"/>
      <c r="K443" s="180"/>
      <c r="L443" s="180"/>
      <c r="M443" s="180">
        <f t="shared" si="153"/>
        <v>10.212165</v>
      </c>
      <c r="N443" s="180"/>
    </row>
    <row r="444" s="1" customFormat="1" ht="26.25" customHeight="1" spans="1:14">
      <c r="A444" s="168" t="s">
        <v>2030</v>
      </c>
      <c r="B444" s="169" t="s">
        <v>2031</v>
      </c>
      <c r="C444" s="170" t="s">
        <v>2032</v>
      </c>
      <c r="D444" s="169" t="s">
        <v>1439</v>
      </c>
      <c r="E444" s="169" t="s">
        <v>2036</v>
      </c>
      <c r="F444" s="180">
        <f t="shared" si="152"/>
        <v>6.8388</v>
      </c>
      <c r="G444" s="180">
        <v>6.8388</v>
      </c>
      <c r="H444" s="180"/>
      <c r="I444" s="180"/>
      <c r="J444" s="180"/>
      <c r="K444" s="180"/>
      <c r="L444" s="180"/>
      <c r="M444" s="180">
        <f t="shared" si="153"/>
        <v>6.8388</v>
      </c>
      <c r="N444" s="180"/>
    </row>
    <row r="445" s="1" customFormat="1" ht="26.25" customHeight="1" spans="1:14">
      <c r="A445" s="168" t="s">
        <v>2030</v>
      </c>
      <c r="B445" s="169" t="s">
        <v>2031</v>
      </c>
      <c r="C445" s="170" t="s">
        <v>2032</v>
      </c>
      <c r="D445" s="169" t="s">
        <v>1439</v>
      </c>
      <c r="E445" s="169" t="s">
        <v>2037</v>
      </c>
      <c r="F445" s="180">
        <f t="shared" si="152"/>
        <v>27.232441</v>
      </c>
      <c r="G445" s="180">
        <v>27.232441</v>
      </c>
      <c r="H445" s="180"/>
      <c r="I445" s="180"/>
      <c r="J445" s="180"/>
      <c r="K445" s="180"/>
      <c r="L445" s="180"/>
      <c r="M445" s="180">
        <f t="shared" si="153"/>
        <v>27.232441</v>
      </c>
      <c r="N445" s="180"/>
    </row>
    <row r="446" s="1" customFormat="1" ht="26.25" customHeight="1" spans="1:14">
      <c r="A446" s="168" t="s">
        <v>2030</v>
      </c>
      <c r="B446" s="169" t="s">
        <v>2031</v>
      </c>
      <c r="C446" s="170" t="s">
        <v>2032</v>
      </c>
      <c r="D446" s="169" t="s">
        <v>1439</v>
      </c>
      <c r="E446" s="169" t="s">
        <v>2038</v>
      </c>
      <c r="F446" s="180">
        <f t="shared" si="152"/>
        <v>18</v>
      </c>
      <c r="G446" s="180">
        <v>18</v>
      </c>
      <c r="H446" s="180"/>
      <c r="I446" s="180"/>
      <c r="J446" s="180">
        <v>2</v>
      </c>
      <c r="K446" s="180"/>
      <c r="L446" s="180"/>
      <c r="M446" s="180">
        <f t="shared" si="153"/>
        <v>20</v>
      </c>
      <c r="N446" s="180"/>
    </row>
    <row r="447" s="1" customFormat="1" ht="26.25" customHeight="1" spans="1:14">
      <c r="A447" s="168" t="s">
        <v>2030</v>
      </c>
      <c r="B447" s="169" t="s">
        <v>2031</v>
      </c>
      <c r="C447" s="170" t="s">
        <v>2032</v>
      </c>
      <c r="D447" s="169" t="s">
        <v>1439</v>
      </c>
      <c r="E447" s="169" t="s">
        <v>2039</v>
      </c>
      <c r="F447" s="180">
        <f t="shared" si="152"/>
        <v>221.297012</v>
      </c>
      <c r="G447" s="180">
        <v>221.297012</v>
      </c>
      <c r="H447" s="180"/>
      <c r="I447" s="180"/>
      <c r="J447" s="180">
        <v>80</v>
      </c>
      <c r="K447" s="180"/>
      <c r="L447" s="180"/>
      <c r="M447" s="180">
        <f t="shared" si="153"/>
        <v>301.297012</v>
      </c>
      <c r="N447" s="180"/>
    </row>
    <row r="448" s="1" customFormat="1" ht="26.25" customHeight="1" spans="1:14">
      <c r="A448" s="168" t="s">
        <v>2030</v>
      </c>
      <c r="B448" s="169" t="s">
        <v>2031</v>
      </c>
      <c r="C448" s="170" t="s">
        <v>2032</v>
      </c>
      <c r="D448" s="169" t="s">
        <v>1439</v>
      </c>
      <c r="E448" s="169" t="s">
        <v>2040</v>
      </c>
      <c r="F448" s="180">
        <f t="shared" si="152"/>
        <v>17.64</v>
      </c>
      <c r="G448" s="180">
        <v>17.64</v>
      </c>
      <c r="H448" s="180"/>
      <c r="I448" s="180"/>
      <c r="J448" s="180">
        <v>2</v>
      </c>
      <c r="K448" s="180"/>
      <c r="L448" s="180"/>
      <c r="M448" s="180">
        <f t="shared" si="153"/>
        <v>19.64</v>
      </c>
      <c r="N448" s="180"/>
    </row>
    <row r="449" s="1" customFormat="1" ht="26.25" customHeight="1" spans="1:14">
      <c r="A449" s="168" t="s">
        <v>2030</v>
      </c>
      <c r="B449" s="169" t="s">
        <v>2031</v>
      </c>
      <c r="C449" s="170" t="s">
        <v>2032</v>
      </c>
      <c r="D449" s="169" t="s">
        <v>1439</v>
      </c>
      <c r="E449" s="169" t="s">
        <v>2041</v>
      </c>
      <c r="F449" s="180">
        <f t="shared" si="152"/>
        <v>0.99224</v>
      </c>
      <c r="G449" s="180">
        <v>0.99224</v>
      </c>
      <c r="H449" s="180"/>
      <c r="I449" s="180"/>
      <c r="J449" s="180"/>
      <c r="K449" s="180"/>
      <c r="L449" s="180"/>
      <c r="M449" s="180">
        <f t="shared" si="153"/>
        <v>0.99224</v>
      </c>
      <c r="N449" s="180"/>
    </row>
    <row r="450" s="1" customFormat="1" ht="26.25" customHeight="1" spans="1:14">
      <c r="A450" s="189" t="s">
        <v>2042</v>
      </c>
      <c r="B450" s="190" t="s">
        <v>2043</v>
      </c>
      <c r="C450" s="191"/>
      <c r="D450" s="192"/>
      <c r="E450" s="192"/>
      <c r="F450" s="167">
        <f t="shared" ref="F450:M450" si="154">SUM(F451:F459)</f>
        <v>896.147716</v>
      </c>
      <c r="G450" s="167">
        <f t="shared" si="154"/>
        <v>896.147716</v>
      </c>
      <c r="H450" s="167">
        <f t="shared" si="154"/>
        <v>0</v>
      </c>
      <c r="I450" s="167">
        <f t="shared" si="154"/>
        <v>0</v>
      </c>
      <c r="J450" s="167">
        <f t="shared" si="154"/>
        <v>0</v>
      </c>
      <c r="K450" s="167">
        <f t="shared" si="154"/>
        <v>0</v>
      </c>
      <c r="L450" s="167">
        <f t="shared" si="154"/>
        <v>0</v>
      </c>
      <c r="M450" s="167">
        <f t="shared" si="154"/>
        <v>896.147716</v>
      </c>
      <c r="N450" s="167"/>
    </row>
    <row r="451" s="1" customFormat="1" ht="26.25" customHeight="1" spans="1:14">
      <c r="A451" s="168" t="s">
        <v>2044</v>
      </c>
      <c r="B451" s="169" t="s">
        <v>2045</v>
      </c>
      <c r="C451" s="170" t="s">
        <v>2046</v>
      </c>
      <c r="D451" s="169" t="s">
        <v>1439</v>
      </c>
      <c r="E451" s="169" t="s">
        <v>2047</v>
      </c>
      <c r="F451" s="180">
        <f t="shared" ref="F451:F459" si="155">SUM(G451:H451)</f>
        <v>22.745435</v>
      </c>
      <c r="G451" s="180">
        <v>22.745435</v>
      </c>
      <c r="H451" s="180"/>
      <c r="I451" s="180"/>
      <c r="J451" s="180"/>
      <c r="K451" s="180"/>
      <c r="L451" s="180"/>
      <c r="M451" s="180">
        <f t="shared" ref="M451:M459" si="156">F451+I451+J451+K451-L451</f>
        <v>22.745435</v>
      </c>
      <c r="N451" s="180"/>
    </row>
    <row r="452" s="1" customFormat="1" ht="26.25" customHeight="1" spans="1:14">
      <c r="A452" s="168" t="s">
        <v>2044</v>
      </c>
      <c r="B452" s="169" t="s">
        <v>2045</v>
      </c>
      <c r="C452" s="170" t="s">
        <v>2046</v>
      </c>
      <c r="D452" s="169" t="s">
        <v>1439</v>
      </c>
      <c r="E452" s="169" t="s">
        <v>2048</v>
      </c>
      <c r="F452" s="180">
        <f t="shared" si="155"/>
        <v>80.664</v>
      </c>
      <c r="G452" s="180">
        <v>80.664</v>
      </c>
      <c r="H452" s="180"/>
      <c r="I452" s="180"/>
      <c r="J452" s="180"/>
      <c r="K452" s="180"/>
      <c r="L452" s="180"/>
      <c r="M452" s="180">
        <f t="shared" si="156"/>
        <v>80.664</v>
      </c>
      <c r="N452" s="180"/>
    </row>
    <row r="453" s="1" customFormat="1" ht="26.25" customHeight="1" spans="1:14">
      <c r="A453" s="168" t="s">
        <v>2044</v>
      </c>
      <c r="B453" s="169" t="s">
        <v>2045</v>
      </c>
      <c r="C453" s="170" t="s">
        <v>2046</v>
      </c>
      <c r="D453" s="169" t="s">
        <v>1439</v>
      </c>
      <c r="E453" s="169" t="s">
        <v>2049</v>
      </c>
      <c r="F453" s="180">
        <f t="shared" si="155"/>
        <v>2</v>
      </c>
      <c r="G453" s="180">
        <v>2</v>
      </c>
      <c r="H453" s="180"/>
      <c r="I453" s="180"/>
      <c r="J453" s="180"/>
      <c r="K453" s="180"/>
      <c r="L453" s="180"/>
      <c r="M453" s="180">
        <f t="shared" si="156"/>
        <v>2</v>
      </c>
      <c r="N453" s="180"/>
    </row>
    <row r="454" s="1" customFormat="1" ht="26.25" customHeight="1" spans="1:14">
      <c r="A454" s="168" t="s">
        <v>2044</v>
      </c>
      <c r="B454" s="169" t="s">
        <v>2045</v>
      </c>
      <c r="C454" s="170" t="s">
        <v>2046</v>
      </c>
      <c r="D454" s="169" t="s">
        <v>1439</v>
      </c>
      <c r="E454" s="169" t="s">
        <v>2050</v>
      </c>
      <c r="F454" s="180">
        <f t="shared" si="155"/>
        <v>38</v>
      </c>
      <c r="G454" s="180">
        <v>38</v>
      </c>
      <c r="H454" s="180"/>
      <c r="I454" s="180"/>
      <c r="J454" s="180"/>
      <c r="K454" s="180"/>
      <c r="L454" s="180"/>
      <c r="M454" s="180">
        <f t="shared" si="156"/>
        <v>38</v>
      </c>
      <c r="N454" s="180"/>
    </row>
    <row r="455" s="1" customFormat="1" ht="26.25" customHeight="1" spans="1:14">
      <c r="A455" s="168" t="s">
        <v>2044</v>
      </c>
      <c r="B455" s="169" t="s">
        <v>2045</v>
      </c>
      <c r="C455" s="170" t="s">
        <v>2046</v>
      </c>
      <c r="D455" s="169" t="s">
        <v>1439</v>
      </c>
      <c r="E455" s="169" t="s">
        <v>2051</v>
      </c>
      <c r="F455" s="180">
        <f t="shared" si="155"/>
        <v>174.663204</v>
      </c>
      <c r="G455" s="180">
        <v>174.663204</v>
      </c>
      <c r="H455" s="180"/>
      <c r="I455" s="180"/>
      <c r="J455" s="180"/>
      <c r="K455" s="180"/>
      <c r="L455" s="180"/>
      <c r="M455" s="180">
        <f t="shared" si="156"/>
        <v>174.663204</v>
      </c>
      <c r="N455" s="180"/>
    </row>
    <row r="456" s="1" customFormat="1" ht="26.25" customHeight="1" spans="1:14">
      <c r="A456" s="168" t="s">
        <v>2044</v>
      </c>
      <c r="B456" s="169" t="s">
        <v>2045</v>
      </c>
      <c r="C456" s="170" t="s">
        <v>2046</v>
      </c>
      <c r="D456" s="169" t="s">
        <v>1439</v>
      </c>
      <c r="E456" s="169" t="s">
        <v>2052</v>
      </c>
      <c r="F456" s="180">
        <f t="shared" si="155"/>
        <v>495.6261</v>
      </c>
      <c r="G456" s="180">
        <v>495.6261</v>
      </c>
      <c r="H456" s="180"/>
      <c r="I456" s="180"/>
      <c r="J456" s="180"/>
      <c r="K456" s="180"/>
      <c r="L456" s="180"/>
      <c r="M456" s="180">
        <f t="shared" si="156"/>
        <v>495.6261</v>
      </c>
      <c r="N456" s="180"/>
    </row>
    <row r="457" s="1" customFormat="1" ht="26.25" customHeight="1" spans="1:14">
      <c r="A457" s="168" t="s">
        <v>2044</v>
      </c>
      <c r="B457" s="169" t="s">
        <v>2045</v>
      </c>
      <c r="C457" s="170" t="s">
        <v>2046</v>
      </c>
      <c r="D457" s="169" t="s">
        <v>1439</v>
      </c>
      <c r="E457" s="169" t="s">
        <v>2053</v>
      </c>
      <c r="F457" s="180">
        <f t="shared" si="155"/>
        <v>11.966485</v>
      </c>
      <c r="G457" s="180">
        <v>11.966485</v>
      </c>
      <c r="H457" s="180"/>
      <c r="I457" s="180"/>
      <c r="J457" s="180"/>
      <c r="K457" s="180"/>
      <c r="L457" s="180"/>
      <c r="M457" s="180">
        <f t="shared" si="156"/>
        <v>11.966485</v>
      </c>
      <c r="N457" s="180"/>
    </row>
    <row r="458" s="1" customFormat="1" ht="26.25" customHeight="1" spans="1:14">
      <c r="A458" s="168" t="s">
        <v>2044</v>
      </c>
      <c r="B458" s="169" t="s">
        <v>2045</v>
      </c>
      <c r="C458" s="170" t="s">
        <v>2046</v>
      </c>
      <c r="D458" s="169" t="s">
        <v>1439</v>
      </c>
      <c r="E458" s="169" t="s">
        <v>2054</v>
      </c>
      <c r="F458" s="180">
        <f t="shared" si="155"/>
        <v>9.828</v>
      </c>
      <c r="G458" s="180">
        <v>9.828</v>
      </c>
      <c r="H458" s="180"/>
      <c r="I458" s="180"/>
      <c r="J458" s="180"/>
      <c r="K458" s="180"/>
      <c r="L458" s="180"/>
      <c r="M458" s="180">
        <f t="shared" si="156"/>
        <v>9.828</v>
      </c>
      <c r="N458" s="180"/>
    </row>
    <row r="459" s="1" customFormat="1" ht="26.25" customHeight="1" spans="1:14">
      <c r="A459" s="168" t="s">
        <v>2044</v>
      </c>
      <c r="B459" s="169" t="s">
        <v>2045</v>
      </c>
      <c r="C459" s="170" t="s">
        <v>2046</v>
      </c>
      <c r="D459" s="169" t="s">
        <v>1439</v>
      </c>
      <c r="E459" s="169" t="s">
        <v>2055</v>
      </c>
      <c r="F459" s="180">
        <f t="shared" si="155"/>
        <v>60.654492</v>
      </c>
      <c r="G459" s="180">
        <v>60.654492</v>
      </c>
      <c r="H459" s="180"/>
      <c r="I459" s="180"/>
      <c r="J459" s="180"/>
      <c r="K459" s="180"/>
      <c r="L459" s="180"/>
      <c r="M459" s="180">
        <f t="shared" si="156"/>
        <v>60.654492</v>
      </c>
      <c r="N459" s="180"/>
    </row>
    <row r="460" s="1" customFormat="1" ht="26.25" customHeight="1" spans="1:14">
      <c r="A460" s="189" t="s">
        <v>2056</v>
      </c>
      <c r="B460" s="190" t="s">
        <v>1380</v>
      </c>
      <c r="C460" s="191"/>
      <c r="D460" s="192"/>
      <c r="E460" s="192"/>
      <c r="F460" s="167">
        <f t="shared" ref="F460:M460" si="157">SUM(F461:F467)</f>
        <v>270.30688</v>
      </c>
      <c r="G460" s="167">
        <f t="shared" si="157"/>
        <v>270.30688</v>
      </c>
      <c r="H460" s="167">
        <f t="shared" si="157"/>
        <v>0</v>
      </c>
      <c r="I460" s="167">
        <f t="shared" si="157"/>
        <v>0</v>
      </c>
      <c r="J460" s="167">
        <f t="shared" si="157"/>
        <v>0</v>
      </c>
      <c r="K460" s="167">
        <f t="shared" si="157"/>
        <v>0</v>
      </c>
      <c r="L460" s="167">
        <f t="shared" si="157"/>
        <v>0</v>
      </c>
      <c r="M460" s="167">
        <f t="shared" si="157"/>
        <v>270.30688</v>
      </c>
      <c r="N460" s="167"/>
    </row>
    <row r="461" s="1" customFormat="1" ht="26.25" customHeight="1" spans="1:14">
      <c r="A461" s="168" t="s">
        <v>2057</v>
      </c>
      <c r="B461" s="169" t="s">
        <v>2058</v>
      </c>
      <c r="C461" s="170" t="s">
        <v>2046</v>
      </c>
      <c r="D461" s="169" t="s">
        <v>1439</v>
      </c>
      <c r="E461" s="169" t="s">
        <v>2059</v>
      </c>
      <c r="F461" s="180">
        <f t="shared" ref="F461:F467" si="158">SUM(G461:H461)</f>
        <v>232.552924</v>
      </c>
      <c r="G461" s="180">
        <v>232.552924</v>
      </c>
      <c r="H461" s="180"/>
      <c r="I461" s="180"/>
      <c r="J461" s="180"/>
      <c r="K461" s="180"/>
      <c r="L461" s="180"/>
      <c r="M461" s="180">
        <f t="shared" ref="M461:M467" si="159">F461+I461+J461+K461-L461</f>
        <v>232.552924</v>
      </c>
      <c r="N461" s="180"/>
    </row>
    <row r="462" s="1" customFormat="1" ht="26.25" customHeight="1" spans="1:14">
      <c r="A462" s="168" t="s">
        <v>2057</v>
      </c>
      <c r="B462" s="169" t="s">
        <v>2058</v>
      </c>
      <c r="C462" s="170" t="s">
        <v>2046</v>
      </c>
      <c r="D462" s="169" t="s">
        <v>1439</v>
      </c>
      <c r="E462" s="169" t="s">
        <v>2060</v>
      </c>
      <c r="F462" s="180">
        <f t="shared" si="158"/>
        <v>1.2</v>
      </c>
      <c r="G462" s="180">
        <v>1.2</v>
      </c>
      <c r="H462" s="180"/>
      <c r="I462" s="180"/>
      <c r="J462" s="180"/>
      <c r="K462" s="180"/>
      <c r="L462" s="180"/>
      <c r="M462" s="180">
        <f t="shared" si="159"/>
        <v>1.2</v>
      </c>
      <c r="N462" s="180"/>
    </row>
    <row r="463" s="1" customFormat="1" ht="26.25" customHeight="1" spans="1:14">
      <c r="A463" s="168" t="s">
        <v>2057</v>
      </c>
      <c r="B463" s="169" t="s">
        <v>2058</v>
      </c>
      <c r="C463" s="170" t="s">
        <v>2046</v>
      </c>
      <c r="D463" s="169" t="s">
        <v>1439</v>
      </c>
      <c r="E463" s="169" t="s">
        <v>2061</v>
      </c>
      <c r="F463" s="180">
        <f t="shared" si="158"/>
        <v>1.923251</v>
      </c>
      <c r="G463" s="180">
        <v>1.923251</v>
      </c>
      <c r="H463" s="180"/>
      <c r="I463" s="180"/>
      <c r="J463" s="180"/>
      <c r="K463" s="180"/>
      <c r="L463" s="180"/>
      <c r="M463" s="180">
        <f t="shared" si="159"/>
        <v>1.923251</v>
      </c>
      <c r="N463" s="180"/>
    </row>
    <row r="464" s="1" customFormat="1" ht="26.25" customHeight="1" spans="1:14">
      <c r="A464" s="168" t="s">
        <v>2057</v>
      </c>
      <c r="B464" s="169" t="s">
        <v>2058</v>
      </c>
      <c r="C464" s="170" t="s">
        <v>2046</v>
      </c>
      <c r="D464" s="169" t="s">
        <v>1439</v>
      </c>
      <c r="E464" s="169" t="s">
        <v>2062</v>
      </c>
      <c r="F464" s="180">
        <f t="shared" si="158"/>
        <v>5.128668</v>
      </c>
      <c r="G464" s="180">
        <v>5.128668</v>
      </c>
      <c r="H464" s="180"/>
      <c r="I464" s="180"/>
      <c r="J464" s="180"/>
      <c r="K464" s="180"/>
      <c r="L464" s="180"/>
      <c r="M464" s="180">
        <f t="shared" si="159"/>
        <v>5.128668</v>
      </c>
      <c r="N464" s="180"/>
    </row>
    <row r="465" s="1" customFormat="1" ht="26.25" customHeight="1" spans="1:14">
      <c r="A465" s="168" t="s">
        <v>2057</v>
      </c>
      <c r="B465" s="169" t="s">
        <v>2058</v>
      </c>
      <c r="C465" s="170" t="s">
        <v>2046</v>
      </c>
      <c r="D465" s="169" t="s">
        <v>1439</v>
      </c>
      <c r="E465" s="169" t="s">
        <v>2063</v>
      </c>
      <c r="F465" s="180">
        <f t="shared" si="158"/>
        <v>13</v>
      </c>
      <c r="G465" s="180">
        <v>13</v>
      </c>
      <c r="H465" s="180"/>
      <c r="I465" s="180"/>
      <c r="J465" s="180"/>
      <c r="K465" s="180"/>
      <c r="L465" s="180"/>
      <c r="M465" s="180">
        <f t="shared" si="159"/>
        <v>13</v>
      </c>
      <c r="N465" s="180"/>
    </row>
    <row r="466" s="1" customFormat="1" ht="26.25" customHeight="1" spans="1:14">
      <c r="A466" s="168" t="s">
        <v>2057</v>
      </c>
      <c r="B466" s="169" t="s">
        <v>2058</v>
      </c>
      <c r="C466" s="170" t="s">
        <v>2046</v>
      </c>
      <c r="D466" s="169" t="s">
        <v>1439</v>
      </c>
      <c r="E466" s="169" t="s">
        <v>2064</v>
      </c>
      <c r="F466" s="180">
        <f t="shared" si="158"/>
        <v>15.182037</v>
      </c>
      <c r="G466" s="180">
        <v>15.182037</v>
      </c>
      <c r="H466" s="180"/>
      <c r="I466" s="180"/>
      <c r="J466" s="180"/>
      <c r="K466" s="180"/>
      <c r="L466" s="180"/>
      <c r="M466" s="180">
        <f t="shared" si="159"/>
        <v>15.182037</v>
      </c>
      <c r="N466" s="180"/>
    </row>
    <row r="467" s="1" customFormat="1" ht="26.25" customHeight="1" spans="1:14">
      <c r="A467" s="168" t="s">
        <v>2057</v>
      </c>
      <c r="B467" s="169" t="s">
        <v>2058</v>
      </c>
      <c r="C467" s="170" t="s">
        <v>2046</v>
      </c>
      <c r="D467" s="169" t="s">
        <v>1439</v>
      </c>
      <c r="E467" s="169" t="s">
        <v>2065</v>
      </c>
      <c r="F467" s="180">
        <f t="shared" si="158"/>
        <v>1.32</v>
      </c>
      <c r="G467" s="180">
        <v>1.32</v>
      </c>
      <c r="H467" s="180"/>
      <c r="I467" s="180"/>
      <c r="J467" s="180"/>
      <c r="K467" s="180"/>
      <c r="L467" s="180"/>
      <c r="M467" s="180">
        <f t="shared" si="159"/>
        <v>1.32</v>
      </c>
      <c r="N467" s="180"/>
    </row>
    <row r="468" s="1" customFormat="1" ht="26.25" customHeight="1" spans="1:14">
      <c r="A468" s="189" t="s">
        <v>2066</v>
      </c>
      <c r="B468" s="190" t="s">
        <v>1382</v>
      </c>
      <c r="C468" s="191"/>
      <c r="D468" s="192"/>
      <c r="E468" s="192"/>
      <c r="F468" s="167">
        <f t="shared" ref="F468:M468" si="160">SUM(F469:F504)</f>
        <v>1068.181668</v>
      </c>
      <c r="G468" s="167">
        <f t="shared" si="160"/>
        <v>1068.181668</v>
      </c>
      <c r="H468" s="167">
        <f t="shared" si="160"/>
        <v>0</v>
      </c>
      <c r="I468" s="167">
        <f t="shared" si="160"/>
        <v>0</v>
      </c>
      <c r="J468" s="167">
        <f t="shared" si="160"/>
        <v>139</v>
      </c>
      <c r="K468" s="167">
        <f t="shared" si="160"/>
        <v>0</v>
      </c>
      <c r="L468" s="167">
        <f t="shared" si="160"/>
        <v>0</v>
      </c>
      <c r="M468" s="167">
        <f t="shared" si="160"/>
        <v>1207.181668</v>
      </c>
      <c r="N468" s="167"/>
    </row>
    <row r="469" s="1" customFormat="1" ht="26.25" customHeight="1" spans="1:14">
      <c r="A469" s="168" t="s">
        <v>2067</v>
      </c>
      <c r="B469" s="169" t="s">
        <v>2068</v>
      </c>
      <c r="C469" s="170" t="s">
        <v>1438</v>
      </c>
      <c r="D469" s="169" t="s">
        <v>1439</v>
      </c>
      <c r="E469" s="169" t="s">
        <v>2069</v>
      </c>
      <c r="F469" s="180">
        <f t="shared" ref="F469:F504" si="161">SUM(G469:H469)</f>
        <v>128.020384</v>
      </c>
      <c r="G469" s="180">
        <v>128.020384</v>
      </c>
      <c r="H469" s="180"/>
      <c r="I469" s="180"/>
      <c r="J469" s="180"/>
      <c r="K469" s="180"/>
      <c r="L469" s="180"/>
      <c r="M469" s="180">
        <f t="shared" ref="M469:M504" si="162">F469+I469+J469+K469-L469</f>
        <v>128.020384</v>
      </c>
      <c r="N469" s="180"/>
    </row>
    <row r="470" s="1" customFormat="1" ht="26.25" customHeight="1" spans="1:14">
      <c r="A470" s="168" t="s">
        <v>2067</v>
      </c>
      <c r="B470" s="169" t="s">
        <v>2068</v>
      </c>
      <c r="C470" s="170" t="s">
        <v>2070</v>
      </c>
      <c r="D470" s="169" t="s">
        <v>2071</v>
      </c>
      <c r="E470" s="169" t="s">
        <v>2069</v>
      </c>
      <c r="F470" s="180">
        <f t="shared" si="161"/>
        <v>8.429371</v>
      </c>
      <c r="G470" s="180">
        <v>8.429371</v>
      </c>
      <c r="H470" s="180"/>
      <c r="I470" s="180"/>
      <c r="J470" s="180"/>
      <c r="K470" s="180"/>
      <c r="L470" s="180"/>
      <c r="M470" s="180">
        <f t="shared" si="162"/>
        <v>8.429371</v>
      </c>
      <c r="N470" s="180"/>
    </row>
    <row r="471" s="1" customFormat="1" ht="26.25" customHeight="1" spans="1:14">
      <c r="A471" s="168" t="s">
        <v>2067</v>
      </c>
      <c r="B471" s="169" t="s">
        <v>2068</v>
      </c>
      <c r="C471" s="170" t="s">
        <v>1438</v>
      </c>
      <c r="D471" s="169" t="s">
        <v>1439</v>
      </c>
      <c r="E471" s="169" t="s">
        <v>2072</v>
      </c>
      <c r="F471" s="180">
        <f t="shared" si="161"/>
        <v>121.660716</v>
      </c>
      <c r="G471" s="180">
        <v>121.660716</v>
      </c>
      <c r="H471" s="180"/>
      <c r="I471" s="180"/>
      <c r="J471" s="180"/>
      <c r="K471" s="180"/>
      <c r="L471" s="180"/>
      <c r="M471" s="180">
        <f t="shared" si="162"/>
        <v>121.660716</v>
      </c>
      <c r="N471" s="180"/>
    </row>
    <row r="472" s="1" customFormat="1" ht="26.25" customHeight="1" spans="1:14">
      <c r="A472" s="168" t="s">
        <v>2067</v>
      </c>
      <c r="B472" s="169" t="s">
        <v>2068</v>
      </c>
      <c r="C472" s="170" t="s">
        <v>2073</v>
      </c>
      <c r="D472" s="169" t="s">
        <v>2074</v>
      </c>
      <c r="E472" s="169" t="s">
        <v>2075</v>
      </c>
      <c r="F472" s="180">
        <f t="shared" si="161"/>
        <v>0.522067</v>
      </c>
      <c r="G472" s="180">
        <v>0.522067</v>
      </c>
      <c r="H472" s="180"/>
      <c r="I472" s="180"/>
      <c r="J472" s="180"/>
      <c r="K472" s="180"/>
      <c r="L472" s="180"/>
      <c r="M472" s="180">
        <f t="shared" si="162"/>
        <v>0.522067</v>
      </c>
      <c r="N472" s="180"/>
    </row>
    <row r="473" s="1" customFormat="1" ht="26.25" customHeight="1" spans="1:14">
      <c r="A473" s="168" t="s">
        <v>2067</v>
      </c>
      <c r="B473" s="169" t="s">
        <v>2068</v>
      </c>
      <c r="C473" s="170" t="s">
        <v>2070</v>
      </c>
      <c r="D473" s="169" t="s">
        <v>2071</v>
      </c>
      <c r="E473" s="169" t="s">
        <v>2076</v>
      </c>
      <c r="F473" s="180">
        <f t="shared" si="161"/>
        <v>1.049301</v>
      </c>
      <c r="G473" s="180">
        <v>1.049301</v>
      </c>
      <c r="H473" s="180"/>
      <c r="I473" s="180"/>
      <c r="J473" s="180"/>
      <c r="K473" s="180"/>
      <c r="L473" s="180"/>
      <c r="M473" s="180">
        <f t="shared" si="162"/>
        <v>1.049301</v>
      </c>
      <c r="N473" s="180"/>
    </row>
    <row r="474" s="1" customFormat="1" ht="26.25" customHeight="1" spans="1:14">
      <c r="A474" s="168" t="s">
        <v>2067</v>
      </c>
      <c r="B474" s="169" t="s">
        <v>2068</v>
      </c>
      <c r="C474" s="170" t="s">
        <v>1438</v>
      </c>
      <c r="D474" s="169" t="s">
        <v>1439</v>
      </c>
      <c r="E474" s="169" t="s">
        <v>2075</v>
      </c>
      <c r="F474" s="180">
        <f t="shared" si="161"/>
        <v>35.091283</v>
      </c>
      <c r="G474" s="180">
        <v>35.091283</v>
      </c>
      <c r="H474" s="180"/>
      <c r="I474" s="180"/>
      <c r="J474" s="180"/>
      <c r="K474" s="180"/>
      <c r="L474" s="180"/>
      <c r="M474" s="180">
        <f t="shared" si="162"/>
        <v>35.091283</v>
      </c>
      <c r="N474" s="180"/>
    </row>
    <row r="475" s="1" customFormat="1" ht="26.25" customHeight="1" spans="1:14">
      <c r="A475" s="168" t="s">
        <v>2067</v>
      </c>
      <c r="B475" s="169" t="s">
        <v>2068</v>
      </c>
      <c r="C475" s="170" t="s">
        <v>2073</v>
      </c>
      <c r="D475" s="169" t="s">
        <v>2074</v>
      </c>
      <c r="E475" s="169" t="s">
        <v>2077</v>
      </c>
      <c r="F475" s="180">
        <f t="shared" si="161"/>
        <v>47.2902</v>
      </c>
      <c r="G475" s="180">
        <v>47.2902</v>
      </c>
      <c r="H475" s="180"/>
      <c r="I475" s="180"/>
      <c r="J475" s="180">
        <v>6</v>
      </c>
      <c r="K475" s="180"/>
      <c r="L475" s="180"/>
      <c r="M475" s="180">
        <f t="shared" si="162"/>
        <v>53.2902</v>
      </c>
      <c r="N475" s="180"/>
    </row>
    <row r="476" s="1" customFormat="1" ht="26.25" customHeight="1" spans="1:14">
      <c r="A476" s="168" t="s">
        <v>2067</v>
      </c>
      <c r="B476" s="169" t="s">
        <v>2068</v>
      </c>
      <c r="C476" s="170" t="s">
        <v>2073</v>
      </c>
      <c r="D476" s="169" t="s">
        <v>2074</v>
      </c>
      <c r="E476" s="169" t="s">
        <v>2078</v>
      </c>
      <c r="F476" s="180">
        <f t="shared" si="161"/>
        <v>0.1</v>
      </c>
      <c r="G476" s="180">
        <v>0.1</v>
      </c>
      <c r="H476" s="180"/>
      <c r="I476" s="180"/>
      <c r="J476" s="180"/>
      <c r="K476" s="180"/>
      <c r="L476" s="180"/>
      <c r="M476" s="180">
        <f t="shared" si="162"/>
        <v>0.1</v>
      </c>
      <c r="N476" s="180"/>
    </row>
    <row r="477" s="1" customFormat="1" ht="26.25" customHeight="1" spans="1:14">
      <c r="A477" s="168" t="s">
        <v>2067</v>
      </c>
      <c r="B477" s="169" t="s">
        <v>2068</v>
      </c>
      <c r="C477" s="170" t="s">
        <v>1438</v>
      </c>
      <c r="D477" s="169" t="s">
        <v>1439</v>
      </c>
      <c r="E477" s="169" t="s">
        <v>2079</v>
      </c>
      <c r="F477" s="180">
        <f t="shared" si="161"/>
        <v>23.9</v>
      </c>
      <c r="G477" s="180">
        <v>23.9</v>
      </c>
      <c r="H477" s="180"/>
      <c r="I477" s="180"/>
      <c r="J477" s="180"/>
      <c r="K477" s="180"/>
      <c r="L477" s="180"/>
      <c r="M477" s="180">
        <f t="shared" si="162"/>
        <v>23.9</v>
      </c>
      <c r="N477" s="180"/>
    </row>
    <row r="478" s="1" customFormat="1" ht="26.25" customHeight="1" spans="1:14">
      <c r="A478" s="168" t="s">
        <v>2067</v>
      </c>
      <c r="B478" s="169" t="s">
        <v>2068</v>
      </c>
      <c r="C478" s="170" t="s">
        <v>2070</v>
      </c>
      <c r="D478" s="169" t="s">
        <v>2071</v>
      </c>
      <c r="E478" s="169" t="s">
        <v>2075</v>
      </c>
      <c r="F478" s="180">
        <f t="shared" si="161"/>
        <v>1.8252</v>
      </c>
      <c r="G478" s="180">
        <v>1.8252</v>
      </c>
      <c r="H478" s="180"/>
      <c r="I478" s="180"/>
      <c r="J478" s="180"/>
      <c r="K478" s="180"/>
      <c r="L478" s="180"/>
      <c r="M478" s="180">
        <f t="shared" si="162"/>
        <v>1.8252</v>
      </c>
      <c r="N478" s="180"/>
    </row>
    <row r="479" s="1" customFormat="1" ht="26.25" customHeight="1" spans="1:14">
      <c r="A479" s="168" t="s">
        <v>2067</v>
      </c>
      <c r="B479" s="169" t="s">
        <v>2068</v>
      </c>
      <c r="C479" s="170" t="s">
        <v>1631</v>
      </c>
      <c r="D479" s="169" t="s">
        <v>1439</v>
      </c>
      <c r="E479" s="169" t="s">
        <v>2080</v>
      </c>
      <c r="F479" s="180">
        <f t="shared" si="161"/>
        <v>1.828075</v>
      </c>
      <c r="G479" s="180">
        <v>1.828075</v>
      </c>
      <c r="H479" s="180"/>
      <c r="I479" s="180"/>
      <c r="J479" s="180"/>
      <c r="K479" s="180"/>
      <c r="L479" s="180"/>
      <c r="M479" s="180">
        <f t="shared" si="162"/>
        <v>1.828075</v>
      </c>
      <c r="N479" s="180"/>
    </row>
    <row r="480" s="1" customFormat="1" ht="26.25" customHeight="1" spans="1:14">
      <c r="A480" s="168" t="s">
        <v>2067</v>
      </c>
      <c r="B480" s="169" t="s">
        <v>2068</v>
      </c>
      <c r="C480" s="170" t="s">
        <v>1438</v>
      </c>
      <c r="D480" s="169" t="s">
        <v>1439</v>
      </c>
      <c r="E480" s="169" t="s">
        <v>2080</v>
      </c>
      <c r="F480" s="180">
        <f t="shared" si="161"/>
        <v>47.050848</v>
      </c>
      <c r="G480" s="180">
        <v>47.050848</v>
      </c>
      <c r="H480" s="180"/>
      <c r="I480" s="180"/>
      <c r="J480" s="180"/>
      <c r="K480" s="180"/>
      <c r="L480" s="180"/>
      <c r="M480" s="180">
        <f t="shared" si="162"/>
        <v>47.050848</v>
      </c>
      <c r="N480" s="180"/>
    </row>
    <row r="481" s="1" customFormat="1" ht="26.25" customHeight="1" spans="1:14">
      <c r="A481" s="168" t="s">
        <v>2067</v>
      </c>
      <c r="B481" s="169" t="s">
        <v>2068</v>
      </c>
      <c r="C481" s="170" t="s">
        <v>2073</v>
      </c>
      <c r="D481" s="169" t="s">
        <v>2074</v>
      </c>
      <c r="E481" s="169" t="s">
        <v>2081</v>
      </c>
      <c r="F481" s="180">
        <f t="shared" si="161"/>
        <v>4</v>
      </c>
      <c r="G481" s="180">
        <v>4</v>
      </c>
      <c r="H481" s="180"/>
      <c r="I481" s="180"/>
      <c r="J481" s="180"/>
      <c r="K481" s="180"/>
      <c r="L481" s="180"/>
      <c r="M481" s="180">
        <f t="shared" si="162"/>
        <v>4</v>
      </c>
      <c r="N481" s="180"/>
    </row>
    <row r="482" s="1" customFormat="1" ht="26.25" customHeight="1" spans="1:14">
      <c r="A482" s="168" t="s">
        <v>2067</v>
      </c>
      <c r="B482" s="169" t="s">
        <v>2068</v>
      </c>
      <c r="C482" s="170" t="s">
        <v>2073</v>
      </c>
      <c r="D482" s="169" t="s">
        <v>2074</v>
      </c>
      <c r="E482" s="169" t="s">
        <v>2069</v>
      </c>
      <c r="F482" s="180">
        <f t="shared" si="161"/>
        <v>17.175497</v>
      </c>
      <c r="G482" s="180">
        <v>17.175497</v>
      </c>
      <c r="H482" s="180"/>
      <c r="I482" s="180"/>
      <c r="J482" s="180"/>
      <c r="K482" s="180"/>
      <c r="L482" s="180"/>
      <c r="M482" s="180">
        <f t="shared" si="162"/>
        <v>17.175497</v>
      </c>
      <c r="N482" s="180"/>
    </row>
    <row r="483" s="1" customFormat="1" ht="26.25" customHeight="1" spans="1:14">
      <c r="A483" s="168" t="s">
        <v>2067</v>
      </c>
      <c r="B483" s="169" t="s">
        <v>2068</v>
      </c>
      <c r="C483" s="170" t="s">
        <v>1631</v>
      </c>
      <c r="D483" s="169" t="s">
        <v>1439</v>
      </c>
      <c r="E483" s="169" t="s">
        <v>2069</v>
      </c>
      <c r="F483" s="180">
        <f t="shared" si="161"/>
        <v>4.941757</v>
      </c>
      <c r="G483" s="180">
        <v>4.941757</v>
      </c>
      <c r="H483" s="180"/>
      <c r="I483" s="180"/>
      <c r="J483" s="180"/>
      <c r="K483" s="180"/>
      <c r="L483" s="180"/>
      <c r="M483" s="180">
        <f t="shared" si="162"/>
        <v>4.941757</v>
      </c>
      <c r="N483" s="180"/>
    </row>
    <row r="484" s="1" customFormat="1" ht="26.25" customHeight="1" spans="1:14">
      <c r="A484" s="168" t="s">
        <v>2067</v>
      </c>
      <c r="B484" s="169" t="s">
        <v>2068</v>
      </c>
      <c r="C484" s="170" t="s">
        <v>1438</v>
      </c>
      <c r="D484" s="169" t="s">
        <v>1439</v>
      </c>
      <c r="E484" s="169" t="s">
        <v>2078</v>
      </c>
      <c r="F484" s="180">
        <f t="shared" si="161"/>
        <v>3.5</v>
      </c>
      <c r="G484" s="180">
        <v>3.5</v>
      </c>
      <c r="H484" s="180"/>
      <c r="I484" s="180"/>
      <c r="J484" s="180"/>
      <c r="K484" s="180"/>
      <c r="L484" s="180"/>
      <c r="M484" s="180">
        <f t="shared" si="162"/>
        <v>3.5</v>
      </c>
      <c r="N484" s="180"/>
    </row>
    <row r="485" s="1" customFormat="1" ht="26.25" customHeight="1" spans="1:14">
      <c r="A485" s="168" t="s">
        <v>2067</v>
      </c>
      <c r="B485" s="169" t="s">
        <v>2068</v>
      </c>
      <c r="C485" s="170" t="s">
        <v>2073</v>
      </c>
      <c r="D485" s="169" t="s">
        <v>2074</v>
      </c>
      <c r="E485" s="169" t="s">
        <v>2076</v>
      </c>
      <c r="F485" s="180">
        <f t="shared" si="161"/>
        <v>2.157759</v>
      </c>
      <c r="G485" s="180">
        <v>2.157759</v>
      </c>
      <c r="H485" s="180"/>
      <c r="I485" s="180"/>
      <c r="J485" s="180"/>
      <c r="K485" s="180"/>
      <c r="L485" s="180"/>
      <c r="M485" s="180">
        <f t="shared" si="162"/>
        <v>2.157759</v>
      </c>
      <c r="N485" s="180"/>
    </row>
    <row r="486" s="1" customFormat="1" ht="26.25" customHeight="1" spans="1:14">
      <c r="A486" s="168" t="s">
        <v>2067</v>
      </c>
      <c r="B486" s="169" t="s">
        <v>2068</v>
      </c>
      <c r="C486" s="170" t="s">
        <v>1438</v>
      </c>
      <c r="D486" s="169" t="s">
        <v>1439</v>
      </c>
      <c r="E486" s="169" t="s">
        <v>2077</v>
      </c>
      <c r="F486" s="180">
        <f t="shared" si="161"/>
        <v>498.1904</v>
      </c>
      <c r="G486" s="180">
        <v>498.1904</v>
      </c>
      <c r="H486" s="180"/>
      <c r="I486" s="180"/>
      <c r="J486" s="180">
        <v>100</v>
      </c>
      <c r="K486" s="180"/>
      <c r="L486" s="180"/>
      <c r="M486" s="180">
        <f t="shared" si="162"/>
        <v>598.1904</v>
      </c>
      <c r="N486" s="180"/>
    </row>
    <row r="487" s="1" customFormat="1" ht="26.25" customHeight="1" spans="1:14">
      <c r="A487" s="168" t="s">
        <v>2067</v>
      </c>
      <c r="B487" s="169" t="s">
        <v>2068</v>
      </c>
      <c r="C487" s="170" t="s">
        <v>2073</v>
      </c>
      <c r="D487" s="169" t="s">
        <v>2074</v>
      </c>
      <c r="E487" s="169" t="s">
        <v>2072</v>
      </c>
      <c r="F487" s="180">
        <f t="shared" si="161"/>
        <v>3.166404</v>
      </c>
      <c r="G487" s="180">
        <v>3.166404</v>
      </c>
      <c r="H487" s="180"/>
      <c r="I487" s="180"/>
      <c r="J487" s="180"/>
      <c r="K487" s="180"/>
      <c r="L487" s="180"/>
      <c r="M487" s="180">
        <f t="shared" si="162"/>
        <v>3.166404</v>
      </c>
      <c r="N487" s="180"/>
    </row>
    <row r="488" s="1" customFormat="1" ht="26.25" customHeight="1" spans="1:14">
      <c r="A488" s="168" t="s">
        <v>2067</v>
      </c>
      <c r="B488" s="169" t="s">
        <v>2068</v>
      </c>
      <c r="C488" s="170" t="s">
        <v>2070</v>
      </c>
      <c r="D488" s="169" t="s">
        <v>2071</v>
      </c>
      <c r="E488" s="169" t="s">
        <v>2077</v>
      </c>
      <c r="F488" s="180">
        <f t="shared" si="161"/>
        <v>23.3178</v>
      </c>
      <c r="G488" s="180">
        <v>23.3178</v>
      </c>
      <c r="H488" s="180"/>
      <c r="I488" s="180"/>
      <c r="J488" s="180">
        <v>1</v>
      </c>
      <c r="K488" s="180"/>
      <c r="L488" s="180"/>
      <c r="M488" s="180">
        <f t="shared" si="162"/>
        <v>24.3178</v>
      </c>
      <c r="N488" s="180"/>
    </row>
    <row r="489" s="1" customFormat="1" ht="26.25" customHeight="1" spans="1:14">
      <c r="A489" s="168" t="s">
        <v>2067</v>
      </c>
      <c r="B489" s="169" t="s">
        <v>2068</v>
      </c>
      <c r="C489" s="170" t="s">
        <v>2070</v>
      </c>
      <c r="D489" s="169" t="s">
        <v>2071</v>
      </c>
      <c r="E489" s="169" t="s">
        <v>2080</v>
      </c>
      <c r="F489" s="180">
        <f t="shared" si="161"/>
        <v>2.798136</v>
      </c>
      <c r="G489" s="180">
        <v>2.798136</v>
      </c>
      <c r="H489" s="180"/>
      <c r="I489" s="180"/>
      <c r="J489" s="180"/>
      <c r="K489" s="180"/>
      <c r="L489" s="180"/>
      <c r="M489" s="180">
        <f t="shared" si="162"/>
        <v>2.798136</v>
      </c>
      <c r="N489" s="180"/>
    </row>
    <row r="490" s="1" customFormat="1" ht="26.25" customHeight="1" spans="1:14">
      <c r="A490" s="168" t="s">
        <v>2067</v>
      </c>
      <c r="B490" s="169" t="s">
        <v>2068</v>
      </c>
      <c r="C490" s="170" t="s">
        <v>1631</v>
      </c>
      <c r="D490" s="169" t="s">
        <v>1439</v>
      </c>
      <c r="E490" s="169" t="s">
        <v>2075</v>
      </c>
      <c r="F490" s="180">
        <f t="shared" si="161"/>
        <v>1.6224</v>
      </c>
      <c r="G490" s="180">
        <v>1.6224</v>
      </c>
      <c r="H490" s="180"/>
      <c r="I490" s="180"/>
      <c r="J490" s="180"/>
      <c r="K490" s="180"/>
      <c r="L490" s="180"/>
      <c r="M490" s="180">
        <f t="shared" si="162"/>
        <v>1.6224</v>
      </c>
      <c r="N490" s="180"/>
    </row>
    <row r="491" s="1" customFormat="1" ht="26.25" customHeight="1" spans="1:14">
      <c r="A491" s="168" t="s">
        <v>2067</v>
      </c>
      <c r="B491" s="169" t="s">
        <v>2068</v>
      </c>
      <c r="C491" s="170" t="s">
        <v>2082</v>
      </c>
      <c r="D491" s="169" t="s">
        <v>2083</v>
      </c>
      <c r="E491" s="169" t="s">
        <v>2081</v>
      </c>
      <c r="F491" s="180">
        <f t="shared" si="161"/>
        <v>1</v>
      </c>
      <c r="G491" s="180">
        <v>1</v>
      </c>
      <c r="H491" s="180"/>
      <c r="I491" s="180"/>
      <c r="J491" s="180"/>
      <c r="K491" s="180"/>
      <c r="L491" s="180"/>
      <c r="M491" s="180">
        <f t="shared" si="162"/>
        <v>1</v>
      </c>
      <c r="N491" s="180"/>
    </row>
    <row r="492" s="1" customFormat="1" ht="26.25" customHeight="1" spans="1:14">
      <c r="A492" s="168" t="s">
        <v>2067</v>
      </c>
      <c r="B492" s="169" t="s">
        <v>2068</v>
      </c>
      <c r="C492" s="170" t="s">
        <v>2082</v>
      </c>
      <c r="D492" s="169" t="s">
        <v>2083</v>
      </c>
      <c r="E492" s="169" t="s">
        <v>2080</v>
      </c>
      <c r="F492" s="180">
        <f t="shared" si="161"/>
        <v>1.303296</v>
      </c>
      <c r="G492" s="180">
        <v>1.303296</v>
      </c>
      <c r="H492" s="180"/>
      <c r="I492" s="180"/>
      <c r="J492" s="180"/>
      <c r="K492" s="180"/>
      <c r="L492" s="180"/>
      <c r="M492" s="180">
        <f t="shared" si="162"/>
        <v>1.303296</v>
      </c>
      <c r="N492" s="180"/>
    </row>
    <row r="493" s="1" customFormat="1" ht="26.25" customHeight="1" spans="1:14">
      <c r="A493" s="168" t="s">
        <v>2067</v>
      </c>
      <c r="B493" s="169" t="s">
        <v>2068</v>
      </c>
      <c r="C493" s="170" t="s">
        <v>2082</v>
      </c>
      <c r="D493" s="169" t="s">
        <v>2083</v>
      </c>
      <c r="E493" s="169" t="s">
        <v>2077</v>
      </c>
      <c r="F493" s="180">
        <f t="shared" si="161"/>
        <v>10.8608</v>
      </c>
      <c r="G493" s="180">
        <v>10.8608</v>
      </c>
      <c r="H493" s="180"/>
      <c r="I493" s="180">
        <v>0</v>
      </c>
      <c r="J493" s="180">
        <v>32</v>
      </c>
      <c r="K493" s="180"/>
      <c r="L493" s="180"/>
      <c r="M493" s="180">
        <f t="shared" si="162"/>
        <v>42.8608</v>
      </c>
      <c r="N493" s="180"/>
    </row>
    <row r="494" s="1" customFormat="1" ht="26.25" customHeight="1" spans="1:14">
      <c r="A494" s="168" t="s">
        <v>2067</v>
      </c>
      <c r="B494" s="169" t="s">
        <v>2068</v>
      </c>
      <c r="C494" s="170" t="s">
        <v>2082</v>
      </c>
      <c r="D494" s="169" t="s">
        <v>2083</v>
      </c>
      <c r="E494" s="169" t="s">
        <v>2076</v>
      </c>
      <c r="F494" s="180">
        <f t="shared" si="161"/>
        <v>0.488736</v>
      </c>
      <c r="G494" s="180">
        <v>0.488736</v>
      </c>
      <c r="H494" s="180"/>
      <c r="I494" s="180"/>
      <c r="J494" s="180"/>
      <c r="K494" s="180"/>
      <c r="L494" s="180"/>
      <c r="M494" s="180">
        <f t="shared" si="162"/>
        <v>0.488736</v>
      </c>
      <c r="N494" s="180"/>
    </row>
    <row r="495" s="1" customFormat="1" ht="26.25" customHeight="1" spans="1:14">
      <c r="A495" s="168" t="s">
        <v>2067</v>
      </c>
      <c r="B495" s="169" t="s">
        <v>2068</v>
      </c>
      <c r="C495" s="170" t="s">
        <v>1438</v>
      </c>
      <c r="D495" s="169" t="s">
        <v>1439</v>
      </c>
      <c r="E495" s="169" t="s">
        <v>2081</v>
      </c>
      <c r="F495" s="180">
        <f t="shared" si="161"/>
        <v>30</v>
      </c>
      <c r="G495" s="180">
        <v>30</v>
      </c>
      <c r="H495" s="180"/>
      <c r="I495" s="180"/>
      <c r="J495" s="180"/>
      <c r="K495" s="180"/>
      <c r="L495" s="180"/>
      <c r="M495" s="180">
        <f t="shared" si="162"/>
        <v>30</v>
      </c>
      <c r="N495" s="180"/>
    </row>
    <row r="496" s="1" customFormat="1" ht="26.25" customHeight="1" spans="1:14">
      <c r="A496" s="168" t="s">
        <v>2067</v>
      </c>
      <c r="B496" s="169" t="s">
        <v>2068</v>
      </c>
      <c r="C496" s="170" t="s">
        <v>2073</v>
      </c>
      <c r="D496" s="169" t="s">
        <v>2074</v>
      </c>
      <c r="E496" s="169" t="s">
        <v>2080</v>
      </c>
      <c r="F496" s="180">
        <f t="shared" si="161"/>
        <v>5.754024</v>
      </c>
      <c r="G496" s="180">
        <v>5.754024</v>
      </c>
      <c r="H496" s="180"/>
      <c r="I496" s="180"/>
      <c r="J496" s="180"/>
      <c r="K496" s="180"/>
      <c r="L496" s="180"/>
      <c r="M496" s="180">
        <f t="shared" si="162"/>
        <v>5.754024</v>
      </c>
      <c r="N496" s="180"/>
    </row>
    <row r="497" s="1" customFormat="1" ht="26.25" customHeight="1" spans="1:14">
      <c r="A497" s="168" t="s">
        <v>2067</v>
      </c>
      <c r="B497" s="169" t="s">
        <v>2068</v>
      </c>
      <c r="C497" s="170" t="s">
        <v>1631</v>
      </c>
      <c r="D497" s="169" t="s">
        <v>1439</v>
      </c>
      <c r="E497" s="169" t="s">
        <v>2077</v>
      </c>
      <c r="F497" s="180">
        <f t="shared" si="161"/>
        <v>14.69396</v>
      </c>
      <c r="G497" s="180">
        <v>14.69396</v>
      </c>
      <c r="H497" s="180"/>
      <c r="I497" s="180"/>
      <c r="J497" s="180"/>
      <c r="K497" s="180"/>
      <c r="L497" s="180"/>
      <c r="M497" s="180">
        <f t="shared" si="162"/>
        <v>14.69396</v>
      </c>
      <c r="N497" s="180"/>
    </row>
    <row r="498" s="1" customFormat="1" ht="26.25" customHeight="1" spans="1:14">
      <c r="A498" s="168" t="s">
        <v>2067</v>
      </c>
      <c r="B498" s="169" t="s">
        <v>2068</v>
      </c>
      <c r="C498" s="170" t="s">
        <v>1631</v>
      </c>
      <c r="D498" s="169" t="s">
        <v>1439</v>
      </c>
      <c r="E498" s="169" t="s">
        <v>2076</v>
      </c>
      <c r="F498" s="180">
        <f t="shared" si="161"/>
        <v>0.685528</v>
      </c>
      <c r="G498" s="180">
        <v>0.685528</v>
      </c>
      <c r="H498" s="180"/>
      <c r="I498" s="180"/>
      <c r="J498" s="180"/>
      <c r="K498" s="180"/>
      <c r="L498" s="180"/>
      <c r="M498" s="180">
        <f t="shared" si="162"/>
        <v>0.685528</v>
      </c>
      <c r="N498" s="180"/>
    </row>
    <row r="499" s="1" customFormat="1" ht="26.25" customHeight="1" spans="1:14">
      <c r="A499" s="168" t="s">
        <v>2067</v>
      </c>
      <c r="B499" s="169" t="s">
        <v>2068</v>
      </c>
      <c r="C499" s="170" t="s">
        <v>2073</v>
      </c>
      <c r="D499" s="169" t="s">
        <v>2074</v>
      </c>
      <c r="E499" s="169" t="s">
        <v>2079</v>
      </c>
      <c r="F499" s="180">
        <f t="shared" si="161"/>
        <v>0.66</v>
      </c>
      <c r="G499" s="180">
        <v>0.66</v>
      </c>
      <c r="H499" s="180"/>
      <c r="I499" s="180"/>
      <c r="J499" s="180"/>
      <c r="K499" s="180"/>
      <c r="L499" s="180"/>
      <c r="M499" s="180">
        <f t="shared" si="162"/>
        <v>0.66</v>
      </c>
      <c r="N499" s="180"/>
    </row>
    <row r="500" s="1" customFormat="1" ht="26.25" customHeight="1" spans="1:14">
      <c r="A500" s="168" t="s">
        <v>2067</v>
      </c>
      <c r="B500" s="169" t="s">
        <v>2068</v>
      </c>
      <c r="C500" s="170" t="s">
        <v>1631</v>
      </c>
      <c r="D500" s="169" t="s">
        <v>1439</v>
      </c>
      <c r="E500" s="169" t="s">
        <v>2079</v>
      </c>
      <c r="F500" s="180">
        <f t="shared" si="161"/>
        <v>0.54</v>
      </c>
      <c r="G500" s="180">
        <v>0.54</v>
      </c>
      <c r="H500" s="180"/>
      <c r="I500" s="180"/>
      <c r="J500" s="180"/>
      <c r="K500" s="180"/>
      <c r="L500" s="180"/>
      <c r="M500" s="180">
        <f t="shared" si="162"/>
        <v>0.54</v>
      </c>
      <c r="N500" s="180"/>
    </row>
    <row r="501" s="1" customFormat="1" ht="26.25" customHeight="1" spans="1:14">
      <c r="A501" s="168" t="s">
        <v>2067</v>
      </c>
      <c r="B501" s="169" t="s">
        <v>2068</v>
      </c>
      <c r="C501" s="170" t="s">
        <v>1631</v>
      </c>
      <c r="D501" s="169" t="s">
        <v>1439</v>
      </c>
      <c r="E501" s="169" t="s">
        <v>2081</v>
      </c>
      <c r="F501" s="180">
        <f t="shared" si="161"/>
        <v>1</v>
      </c>
      <c r="G501" s="180">
        <v>1</v>
      </c>
      <c r="H501" s="180"/>
      <c r="I501" s="180"/>
      <c r="J501" s="180"/>
      <c r="K501" s="180"/>
      <c r="L501" s="180"/>
      <c r="M501" s="180">
        <f t="shared" si="162"/>
        <v>1</v>
      </c>
      <c r="N501" s="180"/>
    </row>
    <row r="502" s="1" customFormat="1" ht="26.25" customHeight="1" spans="1:14">
      <c r="A502" s="168" t="s">
        <v>2067</v>
      </c>
      <c r="B502" s="169" t="s">
        <v>2068</v>
      </c>
      <c r="C502" s="170" t="s">
        <v>2082</v>
      </c>
      <c r="D502" s="169" t="s">
        <v>2083</v>
      </c>
      <c r="E502" s="169" t="s">
        <v>2069</v>
      </c>
      <c r="F502" s="180">
        <f t="shared" si="161"/>
        <v>3.913658</v>
      </c>
      <c r="G502" s="180">
        <v>3.913658</v>
      </c>
      <c r="H502" s="180"/>
      <c r="I502" s="180"/>
      <c r="J502" s="180"/>
      <c r="K502" s="180"/>
      <c r="L502" s="180"/>
      <c r="M502" s="180">
        <f t="shared" si="162"/>
        <v>3.913658</v>
      </c>
      <c r="N502" s="180"/>
    </row>
    <row r="503" s="1" customFormat="1" ht="26.25" customHeight="1" spans="1:14">
      <c r="A503" s="168" t="s">
        <v>2067</v>
      </c>
      <c r="B503" s="169" t="s">
        <v>2068</v>
      </c>
      <c r="C503" s="170" t="s">
        <v>2070</v>
      </c>
      <c r="D503" s="169" t="s">
        <v>2071</v>
      </c>
      <c r="E503" s="169" t="s">
        <v>2081</v>
      </c>
      <c r="F503" s="180">
        <f t="shared" si="161"/>
        <v>2</v>
      </c>
      <c r="G503" s="180">
        <v>2</v>
      </c>
      <c r="H503" s="180"/>
      <c r="I503" s="180"/>
      <c r="J503" s="180"/>
      <c r="K503" s="180"/>
      <c r="L503" s="180"/>
      <c r="M503" s="180">
        <f t="shared" si="162"/>
        <v>2</v>
      </c>
      <c r="N503" s="180"/>
    </row>
    <row r="504" s="1" customFormat="1" ht="26.25" customHeight="1" spans="1:14">
      <c r="A504" s="168" t="s">
        <v>2067</v>
      </c>
      <c r="B504" s="169" t="s">
        <v>2068</v>
      </c>
      <c r="C504" s="170" t="s">
        <v>1438</v>
      </c>
      <c r="D504" s="169" t="s">
        <v>1439</v>
      </c>
      <c r="E504" s="169" t="s">
        <v>2076</v>
      </c>
      <c r="F504" s="180">
        <f t="shared" si="161"/>
        <v>17.644068</v>
      </c>
      <c r="G504" s="180">
        <v>17.644068</v>
      </c>
      <c r="H504" s="180"/>
      <c r="I504" s="180"/>
      <c r="J504" s="180"/>
      <c r="K504" s="180"/>
      <c r="L504" s="180"/>
      <c r="M504" s="180">
        <f t="shared" si="162"/>
        <v>17.644068</v>
      </c>
      <c r="N504" s="180"/>
    </row>
    <row r="505" s="1" customFormat="1" ht="26.25" customHeight="1" spans="1:14">
      <c r="A505" s="189" t="s">
        <v>2084</v>
      </c>
      <c r="B505" s="190" t="s">
        <v>1384</v>
      </c>
      <c r="C505" s="191"/>
      <c r="D505" s="192"/>
      <c r="E505" s="192"/>
      <c r="F505" s="167">
        <f t="shared" ref="F505:M505" si="163">SUM(F506:F514)</f>
        <v>126.766588</v>
      </c>
      <c r="G505" s="167">
        <f t="shared" si="163"/>
        <v>126.766588</v>
      </c>
      <c r="H505" s="167">
        <f t="shared" si="163"/>
        <v>0</v>
      </c>
      <c r="I505" s="167">
        <f t="shared" si="163"/>
        <v>0</v>
      </c>
      <c r="J505" s="167">
        <f t="shared" si="163"/>
        <v>0</v>
      </c>
      <c r="K505" s="167">
        <f t="shared" si="163"/>
        <v>0</v>
      </c>
      <c r="L505" s="167">
        <f t="shared" si="163"/>
        <v>0</v>
      </c>
      <c r="M505" s="167">
        <f t="shared" si="163"/>
        <v>126.766588</v>
      </c>
      <c r="N505" s="167"/>
    </row>
    <row r="506" s="1" customFormat="1" ht="26.25" customHeight="1" spans="1:14">
      <c r="A506" s="168" t="s">
        <v>2085</v>
      </c>
      <c r="B506" s="169" t="s">
        <v>2086</v>
      </c>
      <c r="C506" s="170" t="s">
        <v>2087</v>
      </c>
      <c r="D506" s="169" t="s">
        <v>2071</v>
      </c>
      <c r="E506" s="169" t="s">
        <v>2088</v>
      </c>
      <c r="F506" s="180">
        <f t="shared" ref="F506:F514" si="164">SUM(G506:H506)</f>
        <v>8.891748</v>
      </c>
      <c r="G506" s="180">
        <v>8.891748</v>
      </c>
      <c r="H506" s="180"/>
      <c r="I506" s="180"/>
      <c r="J506" s="180"/>
      <c r="K506" s="180"/>
      <c r="L506" s="180"/>
      <c r="M506" s="180">
        <f t="shared" ref="M506:M514" si="165">F506+I506+J506+K506-L506</f>
        <v>8.891748</v>
      </c>
      <c r="N506" s="180"/>
    </row>
    <row r="507" s="1" customFormat="1" ht="26.25" customHeight="1" spans="1:14">
      <c r="A507" s="168" t="s">
        <v>2085</v>
      </c>
      <c r="B507" s="169" t="s">
        <v>2086</v>
      </c>
      <c r="C507" s="170" t="s">
        <v>2087</v>
      </c>
      <c r="D507" s="169" t="s">
        <v>2071</v>
      </c>
      <c r="E507" s="169" t="s">
        <v>2089</v>
      </c>
      <c r="F507" s="180">
        <f t="shared" si="164"/>
        <v>1.98</v>
      </c>
      <c r="G507" s="180">
        <v>1.98</v>
      </c>
      <c r="H507" s="180"/>
      <c r="I507" s="180"/>
      <c r="J507" s="180"/>
      <c r="K507" s="180"/>
      <c r="L507" s="180"/>
      <c r="M507" s="180">
        <f t="shared" si="165"/>
        <v>1.98</v>
      </c>
      <c r="N507" s="180"/>
    </row>
    <row r="508" s="1" customFormat="1" ht="26.25" customHeight="1" spans="1:14">
      <c r="A508" s="168" t="s">
        <v>2085</v>
      </c>
      <c r="B508" s="169" t="s">
        <v>2086</v>
      </c>
      <c r="C508" s="170" t="s">
        <v>2087</v>
      </c>
      <c r="D508" s="169" t="s">
        <v>2071</v>
      </c>
      <c r="E508" s="169" t="s">
        <v>2090</v>
      </c>
      <c r="F508" s="180">
        <f t="shared" si="164"/>
        <v>26.456028</v>
      </c>
      <c r="G508" s="180">
        <v>26.456028</v>
      </c>
      <c r="H508" s="180"/>
      <c r="I508" s="180"/>
      <c r="J508" s="180"/>
      <c r="K508" s="180"/>
      <c r="L508" s="180"/>
      <c r="M508" s="180">
        <f t="shared" si="165"/>
        <v>26.456028</v>
      </c>
      <c r="N508" s="180"/>
    </row>
    <row r="509" s="1" customFormat="1" ht="26.25" customHeight="1" spans="1:14">
      <c r="A509" s="168" t="s">
        <v>2085</v>
      </c>
      <c r="B509" s="169" t="s">
        <v>2086</v>
      </c>
      <c r="C509" s="170" t="s">
        <v>2087</v>
      </c>
      <c r="D509" s="169" t="s">
        <v>2071</v>
      </c>
      <c r="E509" s="169" t="s">
        <v>2091</v>
      </c>
      <c r="F509" s="180">
        <f t="shared" si="164"/>
        <v>5</v>
      </c>
      <c r="G509" s="180">
        <v>5</v>
      </c>
      <c r="H509" s="180"/>
      <c r="I509" s="180"/>
      <c r="J509" s="180"/>
      <c r="K509" s="180"/>
      <c r="L509" s="180"/>
      <c r="M509" s="180">
        <f t="shared" si="165"/>
        <v>5</v>
      </c>
      <c r="N509" s="180"/>
    </row>
    <row r="510" s="1" customFormat="1" ht="26.25" customHeight="1" spans="1:14">
      <c r="A510" s="168" t="s">
        <v>2085</v>
      </c>
      <c r="B510" s="169" t="s">
        <v>2086</v>
      </c>
      <c r="C510" s="170" t="s">
        <v>2087</v>
      </c>
      <c r="D510" s="169" t="s">
        <v>2071</v>
      </c>
      <c r="E510" s="169" t="s">
        <v>2092</v>
      </c>
      <c r="F510" s="180">
        <f t="shared" si="164"/>
        <v>1.237218</v>
      </c>
      <c r="G510" s="180">
        <v>1.237218</v>
      </c>
      <c r="H510" s="180"/>
      <c r="I510" s="180"/>
      <c r="J510" s="180"/>
      <c r="K510" s="180"/>
      <c r="L510" s="180"/>
      <c r="M510" s="180">
        <f t="shared" si="165"/>
        <v>1.237218</v>
      </c>
      <c r="N510" s="180"/>
    </row>
    <row r="511" s="1" customFormat="1" ht="26.25" customHeight="1" spans="1:14">
      <c r="A511" s="168" t="s">
        <v>2085</v>
      </c>
      <c r="B511" s="169" t="s">
        <v>2086</v>
      </c>
      <c r="C511" s="170" t="s">
        <v>2087</v>
      </c>
      <c r="D511" s="169" t="s">
        <v>2071</v>
      </c>
      <c r="E511" s="169" t="s">
        <v>2093</v>
      </c>
      <c r="F511" s="180">
        <f t="shared" si="164"/>
        <v>7.449288</v>
      </c>
      <c r="G511" s="180">
        <v>7.449288</v>
      </c>
      <c r="H511" s="180"/>
      <c r="I511" s="180"/>
      <c r="J511" s="180"/>
      <c r="K511" s="180"/>
      <c r="L511" s="180"/>
      <c r="M511" s="180">
        <f t="shared" si="165"/>
        <v>7.449288</v>
      </c>
      <c r="N511" s="180"/>
    </row>
    <row r="512" s="1" customFormat="1" ht="26.25" customHeight="1" spans="1:14">
      <c r="A512" s="168" t="s">
        <v>2085</v>
      </c>
      <c r="B512" s="169" t="s">
        <v>2086</v>
      </c>
      <c r="C512" s="170" t="s">
        <v>2087</v>
      </c>
      <c r="D512" s="169" t="s">
        <v>2071</v>
      </c>
      <c r="E512" s="169" t="s">
        <v>2094</v>
      </c>
      <c r="F512" s="180">
        <f t="shared" si="164"/>
        <v>72.1179</v>
      </c>
      <c r="G512" s="180">
        <v>72.1179</v>
      </c>
      <c r="H512" s="180"/>
      <c r="I512" s="180"/>
      <c r="J512" s="180"/>
      <c r="K512" s="180"/>
      <c r="L512" s="180"/>
      <c r="M512" s="180">
        <f t="shared" si="165"/>
        <v>72.1179</v>
      </c>
      <c r="N512" s="180"/>
    </row>
    <row r="513" s="1" customFormat="1" ht="26.25" customHeight="1" spans="1:14">
      <c r="A513" s="168" t="s">
        <v>2085</v>
      </c>
      <c r="B513" s="169" t="s">
        <v>2086</v>
      </c>
      <c r="C513" s="170" t="s">
        <v>2087</v>
      </c>
      <c r="D513" s="169" t="s">
        <v>2071</v>
      </c>
      <c r="E513" s="169" t="s">
        <v>2095</v>
      </c>
      <c r="F513" s="180">
        <f t="shared" si="164"/>
        <v>3.334406</v>
      </c>
      <c r="G513" s="180">
        <v>3.334406</v>
      </c>
      <c r="H513" s="180"/>
      <c r="I513" s="180"/>
      <c r="J513" s="180"/>
      <c r="K513" s="180"/>
      <c r="L513" s="180"/>
      <c r="M513" s="180">
        <f t="shared" si="165"/>
        <v>3.334406</v>
      </c>
      <c r="N513" s="180"/>
    </row>
    <row r="514" s="1" customFormat="1" ht="26.25" customHeight="1" spans="1:14">
      <c r="A514" s="168" t="s">
        <v>2085</v>
      </c>
      <c r="B514" s="169" t="s">
        <v>2086</v>
      </c>
      <c r="C514" s="170" t="s">
        <v>2087</v>
      </c>
      <c r="D514" s="169" t="s">
        <v>2071</v>
      </c>
      <c r="E514" s="169" t="s">
        <v>2096</v>
      </c>
      <c r="F514" s="180">
        <f t="shared" si="164"/>
        <v>0.3</v>
      </c>
      <c r="G514" s="180">
        <v>0.3</v>
      </c>
      <c r="H514" s="180"/>
      <c r="I514" s="180"/>
      <c r="J514" s="180"/>
      <c r="K514" s="180"/>
      <c r="L514" s="180"/>
      <c r="M514" s="180">
        <f t="shared" si="165"/>
        <v>0.3</v>
      </c>
      <c r="N514" s="180"/>
    </row>
    <row r="515" s="1" customFormat="1" ht="26.25" customHeight="1" spans="1:14">
      <c r="A515" s="189" t="s">
        <v>2097</v>
      </c>
      <c r="B515" s="190" t="s">
        <v>1386</v>
      </c>
      <c r="C515" s="191"/>
      <c r="D515" s="192"/>
      <c r="E515" s="192"/>
      <c r="F515" s="167">
        <f t="shared" ref="F515:M515" si="166">SUM(F516:F524)</f>
        <v>604.567529</v>
      </c>
      <c r="G515" s="167">
        <f t="shared" si="166"/>
        <v>604.567529</v>
      </c>
      <c r="H515" s="167">
        <f t="shared" si="166"/>
        <v>0</v>
      </c>
      <c r="I515" s="167">
        <f t="shared" si="166"/>
        <v>0</v>
      </c>
      <c r="J515" s="167">
        <f t="shared" si="166"/>
        <v>67</v>
      </c>
      <c r="K515" s="167">
        <f t="shared" si="166"/>
        <v>0</v>
      </c>
      <c r="L515" s="167">
        <f t="shared" si="166"/>
        <v>0</v>
      </c>
      <c r="M515" s="167">
        <f t="shared" si="166"/>
        <v>671.567529</v>
      </c>
      <c r="N515" s="167"/>
    </row>
    <row r="516" s="1" customFormat="1" ht="26.25" customHeight="1" spans="1:14">
      <c r="A516" s="168" t="s">
        <v>2098</v>
      </c>
      <c r="B516" s="169" t="s">
        <v>2099</v>
      </c>
      <c r="C516" s="170" t="s">
        <v>1438</v>
      </c>
      <c r="D516" s="169" t="s">
        <v>1439</v>
      </c>
      <c r="E516" s="169" t="s">
        <v>2100</v>
      </c>
      <c r="F516" s="180">
        <f t="shared" ref="F516:F524" si="167">SUM(G516:H516)</f>
        <v>36.82787</v>
      </c>
      <c r="G516" s="180">
        <v>36.82787</v>
      </c>
      <c r="H516" s="180"/>
      <c r="I516" s="180"/>
      <c r="J516" s="180"/>
      <c r="K516" s="180"/>
      <c r="L516" s="180"/>
      <c r="M516" s="180">
        <f t="shared" ref="M516:M524" si="168">F516+I516+J516+K516-L516</f>
        <v>36.82787</v>
      </c>
      <c r="N516" s="180"/>
    </row>
    <row r="517" s="1" customFormat="1" ht="26.25" customHeight="1" spans="1:14">
      <c r="A517" s="168" t="s">
        <v>2098</v>
      </c>
      <c r="B517" s="169" t="s">
        <v>2099</v>
      </c>
      <c r="C517" s="170" t="s">
        <v>1438</v>
      </c>
      <c r="D517" s="169" t="s">
        <v>1439</v>
      </c>
      <c r="E517" s="169" t="s">
        <v>2101</v>
      </c>
      <c r="F517" s="180">
        <f t="shared" si="167"/>
        <v>104.2232</v>
      </c>
      <c r="G517" s="180">
        <v>104.2232</v>
      </c>
      <c r="H517" s="180"/>
      <c r="I517" s="180"/>
      <c r="J517" s="180"/>
      <c r="K517" s="180"/>
      <c r="L517" s="180"/>
      <c r="M517" s="180">
        <f t="shared" si="168"/>
        <v>104.2232</v>
      </c>
      <c r="N517" s="180"/>
    </row>
    <row r="518" s="1" customFormat="1" ht="26.25" customHeight="1" spans="1:14">
      <c r="A518" s="168" t="s">
        <v>2098</v>
      </c>
      <c r="B518" s="169" t="s">
        <v>2099</v>
      </c>
      <c r="C518" s="170" t="s">
        <v>1438</v>
      </c>
      <c r="D518" s="169" t="s">
        <v>1439</v>
      </c>
      <c r="E518" s="169" t="s">
        <v>2102</v>
      </c>
      <c r="F518" s="180">
        <f t="shared" si="167"/>
        <v>1.238644</v>
      </c>
      <c r="G518" s="180">
        <v>1.238644</v>
      </c>
      <c r="H518" s="180"/>
      <c r="I518" s="180"/>
      <c r="J518" s="180"/>
      <c r="K518" s="180"/>
      <c r="L518" s="180"/>
      <c r="M518" s="180">
        <f t="shared" si="168"/>
        <v>1.238644</v>
      </c>
      <c r="N518" s="180"/>
    </row>
    <row r="519" s="1" customFormat="1" ht="26.25" customHeight="1" spans="1:14">
      <c r="A519" s="168" t="s">
        <v>2098</v>
      </c>
      <c r="B519" s="169" t="s">
        <v>2099</v>
      </c>
      <c r="C519" s="170" t="s">
        <v>1438</v>
      </c>
      <c r="D519" s="169" t="s">
        <v>1439</v>
      </c>
      <c r="E519" s="169" t="s">
        <v>2103</v>
      </c>
      <c r="F519" s="180">
        <f t="shared" si="167"/>
        <v>0.3</v>
      </c>
      <c r="G519" s="180">
        <v>0.3</v>
      </c>
      <c r="H519" s="180"/>
      <c r="I519" s="180"/>
      <c r="J519" s="180"/>
      <c r="K519" s="180"/>
      <c r="L519" s="180"/>
      <c r="M519" s="180">
        <f t="shared" si="168"/>
        <v>0.3</v>
      </c>
      <c r="N519" s="180"/>
    </row>
    <row r="520" s="1" customFormat="1" ht="26.25" customHeight="1" spans="1:14">
      <c r="A520" s="168" t="s">
        <v>2098</v>
      </c>
      <c r="B520" s="169" t="s">
        <v>2099</v>
      </c>
      <c r="C520" s="170" t="s">
        <v>1438</v>
      </c>
      <c r="D520" s="169" t="s">
        <v>1439</v>
      </c>
      <c r="E520" s="169" t="s">
        <v>2104</v>
      </c>
      <c r="F520" s="180">
        <f t="shared" si="167"/>
        <v>30</v>
      </c>
      <c r="G520" s="180">
        <v>30</v>
      </c>
      <c r="H520" s="180"/>
      <c r="I520" s="180"/>
      <c r="J520" s="180"/>
      <c r="K520" s="180"/>
      <c r="L520" s="180"/>
      <c r="M520" s="180">
        <f t="shared" si="168"/>
        <v>30</v>
      </c>
      <c r="N520" s="180"/>
    </row>
    <row r="521" s="1" customFormat="1" ht="26.25" customHeight="1" spans="1:14">
      <c r="A521" s="168" t="s">
        <v>2098</v>
      </c>
      <c r="B521" s="169" t="s">
        <v>2099</v>
      </c>
      <c r="C521" s="170" t="s">
        <v>1438</v>
      </c>
      <c r="D521" s="169" t="s">
        <v>1439</v>
      </c>
      <c r="E521" s="169" t="s">
        <v>2105</v>
      </c>
      <c r="F521" s="180">
        <f t="shared" si="167"/>
        <v>5.268444</v>
      </c>
      <c r="G521" s="180">
        <v>5.268444</v>
      </c>
      <c r="H521" s="180"/>
      <c r="I521" s="180"/>
      <c r="J521" s="180"/>
      <c r="K521" s="180"/>
      <c r="L521" s="180"/>
      <c r="M521" s="180">
        <f t="shared" si="168"/>
        <v>5.268444</v>
      </c>
      <c r="N521" s="180"/>
    </row>
    <row r="522" s="1" customFormat="1" ht="26.25" customHeight="1" spans="1:14">
      <c r="A522" s="168" t="s">
        <v>2098</v>
      </c>
      <c r="B522" s="169" t="s">
        <v>2099</v>
      </c>
      <c r="C522" s="170" t="s">
        <v>1438</v>
      </c>
      <c r="D522" s="169" t="s">
        <v>1439</v>
      </c>
      <c r="E522" s="169" t="s">
        <v>2106</v>
      </c>
      <c r="F522" s="180">
        <f t="shared" si="167"/>
        <v>13.810451</v>
      </c>
      <c r="G522" s="180">
        <v>13.810451</v>
      </c>
      <c r="H522" s="180"/>
      <c r="I522" s="180"/>
      <c r="J522" s="180"/>
      <c r="K522" s="180"/>
      <c r="L522" s="180"/>
      <c r="M522" s="180">
        <f t="shared" si="168"/>
        <v>13.810451</v>
      </c>
      <c r="N522" s="180"/>
    </row>
    <row r="523" s="1" customFormat="1" ht="26.25" customHeight="1" spans="1:14">
      <c r="A523" s="168" t="s">
        <v>2098</v>
      </c>
      <c r="B523" s="169" t="s">
        <v>2099</v>
      </c>
      <c r="C523" s="170" t="s">
        <v>1438</v>
      </c>
      <c r="D523" s="169" t="s">
        <v>1439</v>
      </c>
      <c r="E523" s="169" t="s">
        <v>2107</v>
      </c>
      <c r="F523" s="180">
        <f t="shared" si="167"/>
        <v>11.3</v>
      </c>
      <c r="G523" s="180">
        <v>11.3</v>
      </c>
      <c r="H523" s="180"/>
      <c r="I523" s="180"/>
      <c r="J523" s="180"/>
      <c r="K523" s="180"/>
      <c r="L523" s="180"/>
      <c r="M523" s="180">
        <f t="shared" si="168"/>
        <v>11.3</v>
      </c>
      <c r="N523" s="180"/>
    </row>
    <row r="524" s="1" customFormat="1" ht="26.25" customHeight="1" spans="1:14">
      <c r="A524" s="168" t="s">
        <v>2098</v>
      </c>
      <c r="B524" s="169" t="s">
        <v>2099</v>
      </c>
      <c r="C524" s="170" t="s">
        <v>1438</v>
      </c>
      <c r="D524" s="169" t="s">
        <v>1439</v>
      </c>
      <c r="E524" s="169" t="s">
        <v>2108</v>
      </c>
      <c r="F524" s="180">
        <f t="shared" si="167"/>
        <v>401.59892</v>
      </c>
      <c r="G524" s="180">
        <v>401.59892</v>
      </c>
      <c r="H524" s="180"/>
      <c r="I524" s="180"/>
      <c r="J524" s="180">
        <v>67</v>
      </c>
      <c r="K524" s="180"/>
      <c r="L524" s="180"/>
      <c r="M524" s="180">
        <f t="shared" si="168"/>
        <v>468.59892</v>
      </c>
      <c r="N524" s="180"/>
    </row>
    <row r="525" s="1" customFormat="1" ht="26.25" customHeight="1" spans="1:14">
      <c r="A525" s="189" t="s">
        <v>2109</v>
      </c>
      <c r="B525" s="190" t="s">
        <v>1388</v>
      </c>
      <c r="C525" s="191"/>
      <c r="D525" s="192"/>
      <c r="E525" s="192"/>
      <c r="F525" s="167">
        <f t="shared" ref="F525:M525" si="169">SUM(F526:F573)</f>
        <v>1138.868439</v>
      </c>
      <c r="G525" s="167">
        <f t="shared" si="169"/>
        <v>1138.868439</v>
      </c>
      <c r="H525" s="167">
        <f t="shared" si="169"/>
        <v>0</v>
      </c>
      <c r="I525" s="167">
        <f t="shared" si="169"/>
        <v>0</v>
      </c>
      <c r="J525" s="167">
        <f t="shared" si="169"/>
        <v>124.84</v>
      </c>
      <c r="K525" s="167">
        <f t="shared" si="169"/>
        <v>0</v>
      </c>
      <c r="L525" s="167">
        <f t="shared" si="169"/>
        <v>0</v>
      </c>
      <c r="M525" s="167">
        <f t="shared" si="169"/>
        <v>1263.708439</v>
      </c>
      <c r="N525" s="167"/>
    </row>
    <row r="526" s="1" customFormat="1" ht="26.25" customHeight="1" spans="1:14">
      <c r="A526" s="168" t="s">
        <v>2110</v>
      </c>
      <c r="B526" s="169" t="s">
        <v>2111</v>
      </c>
      <c r="C526" s="170" t="s">
        <v>1631</v>
      </c>
      <c r="D526" s="169" t="s">
        <v>1439</v>
      </c>
      <c r="E526" s="169" t="s">
        <v>2112</v>
      </c>
      <c r="F526" s="180">
        <f t="shared" ref="F526:F573" si="170">SUM(G526:H526)</f>
        <v>0.1</v>
      </c>
      <c r="G526" s="180">
        <v>0.1</v>
      </c>
      <c r="H526" s="180"/>
      <c r="I526" s="180"/>
      <c r="J526" s="180"/>
      <c r="K526" s="180"/>
      <c r="L526" s="180"/>
      <c r="M526" s="180">
        <f t="shared" ref="M526:M573" si="171">F526+I526+J526+K526-L526</f>
        <v>0.1</v>
      </c>
      <c r="N526" s="180"/>
    </row>
    <row r="527" s="1" customFormat="1" ht="26.25" customHeight="1" spans="1:14">
      <c r="A527" s="168" t="s">
        <v>2110</v>
      </c>
      <c r="B527" s="169" t="s">
        <v>2111</v>
      </c>
      <c r="C527" s="170" t="s">
        <v>2113</v>
      </c>
      <c r="D527" s="169" t="s">
        <v>2114</v>
      </c>
      <c r="E527" s="169" t="s">
        <v>2115</v>
      </c>
      <c r="F527" s="180">
        <f t="shared" si="170"/>
        <v>2.924609</v>
      </c>
      <c r="G527" s="180">
        <v>2.924609</v>
      </c>
      <c r="H527" s="180"/>
      <c r="I527" s="180"/>
      <c r="J527" s="180"/>
      <c r="K527" s="180"/>
      <c r="L527" s="180"/>
      <c r="M527" s="180">
        <f t="shared" si="171"/>
        <v>2.924609</v>
      </c>
      <c r="N527" s="180"/>
    </row>
    <row r="528" s="1" customFormat="1" ht="26.25" customHeight="1" spans="1:14">
      <c r="A528" s="168" t="s">
        <v>2110</v>
      </c>
      <c r="B528" s="169" t="s">
        <v>2111</v>
      </c>
      <c r="C528" s="170" t="s">
        <v>2082</v>
      </c>
      <c r="D528" s="169" t="s">
        <v>2083</v>
      </c>
      <c r="E528" s="169" t="s">
        <v>2116</v>
      </c>
      <c r="F528" s="180">
        <f t="shared" si="170"/>
        <v>2.795664</v>
      </c>
      <c r="G528" s="180">
        <v>2.795664</v>
      </c>
      <c r="H528" s="180"/>
      <c r="I528" s="180"/>
      <c r="J528" s="180"/>
      <c r="K528" s="180"/>
      <c r="L528" s="180"/>
      <c r="M528" s="180">
        <f t="shared" si="171"/>
        <v>2.795664</v>
      </c>
      <c r="N528" s="180"/>
    </row>
    <row r="529" s="1" customFormat="1" ht="26.25" customHeight="1" spans="1:14">
      <c r="A529" s="168" t="s">
        <v>2110</v>
      </c>
      <c r="B529" s="169" t="s">
        <v>2111</v>
      </c>
      <c r="C529" s="170" t="s">
        <v>2082</v>
      </c>
      <c r="D529" s="169" t="s">
        <v>2083</v>
      </c>
      <c r="E529" s="169" t="s">
        <v>2117</v>
      </c>
      <c r="F529" s="180">
        <f t="shared" si="170"/>
        <v>23.2972</v>
      </c>
      <c r="G529" s="180">
        <v>23.2972</v>
      </c>
      <c r="H529" s="180"/>
      <c r="I529" s="180"/>
      <c r="J529" s="180">
        <v>2</v>
      </c>
      <c r="K529" s="180"/>
      <c r="L529" s="180"/>
      <c r="M529" s="180">
        <f t="shared" si="171"/>
        <v>25.2972</v>
      </c>
      <c r="N529" s="180"/>
    </row>
    <row r="530" s="1" customFormat="1" ht="26.25" customHeight="1" spans="1:14">
      <c r="A530" s="168" t="s">
        <v>2110</v>
      </c>
      <c r="B530" s="169" t="s">
        <v>2111</v>
      </c>
      <c r="C530" s="170" t="s">
        <v>2118</v>
      </c>
      <c r="D530" s="169" t="s">
        <v>2071</v>
      </c>
      <c r="E530" s="169" t="s">
        <v>2119</v>
      </c>
      <c r="F530" s="180">
        <f t="shared" si="170"/>
        <v>3</v>
      </c>
      <c r="G530" s="180">
        <v>3</v>
      </c>
      <c r="H530" s="180"/>
      <c r="I530" s="180"/>
      <c r="J530" s="180"/>
      <c r="K530" s="180"/>
      <c r="L530" s="180"/>
      <c r="M530" s="180">
        <f t="shared" si="171"/>
        <v>3</v>
      </c>
      <c r="N530" s="180"/>
    </row>
    <row r="531" s="1" customFormat="1" ht="26.25" customHeight="1" spans="1:14">
      <c r="A531" s="168" t="s">
        <v>2110</v>
      </c>
      <c r="B531" s="169" t="s">
        <v>2111</v>
      </c>
      <c r="C531" s="170" t="s">
        <v>1438</v>
      </c>
      <c r="D531" s="169" t="s">
        <v>1439</v>
      </c>
      <c r="E531" s="169" t="s">
        <v>2120</v>
      </c>
      <c r="F531" s="180">
        <f t="shared" si="170"/>
        <v>18.762162</v>
      </c>
      <c r="G531" s="180">
        <v>18.762162</v>
      </c>
      <c r="H531" s="180"/>
      <c r="I531" s="180"/>
      <c r="J531" s="180"/>
      <c r="K531" s="180"/>
      <c r="L531" s="180"/>
      <c r="M531" s="180">
        <f t="shared" si="171"/>
        <v>18.762162</v>
      </c>
      <c r="N531" s="180"/>
    </row>
    <row r="532" s="1" customFormat="1" ht="26.25" customHeight="1" spans="1:14">
      <c r="A532" s="168" t="s">
        <v>2110</v>
      </c>
      <c r="B532" s="169" t="s">
        <v>2111</v>
      </c>
      <c r="C532" s="170" t="s">
        <v>2118</v>
      </c>
      <c r="D532" s="169" t="s">
        <v>2071</v>
      </c>
      <c r="E532" s="169" t="s">
        <v>2115</v>
      </c>
      <c r="F532" s="180">
        <f t="shared" si="170"/>
        <v>1.125684</v>
      </c>
      <c r="G532" s="180">
        <v>1.125684</v>
      </c>
      <c r="H532" s="180"/>
      <c r="I532" s="180"/>
      <c r="J532" s="180"/>
      <c r="K532" s="180"/>
      <c r="L532" s="180"/>
      <c r="M532" s="180">
        <f t="shared" si="171"/>
        <v>1.125684</v>
      </c>
      <c r="N532" s="180"/>
    </row>
    <row r="533" s="1" customFormat="1" ht="26.25" customHeight="1" spans="1:14">
      <c r="A533" s="168" t="s">
        <v>2110</v>
      </c>
      <c r="B533" s="169" t="s">
        <v>2111</v>
      </c>
      <c r="C533" s="170" t="s">
        <v>2118</v>
      </c>
      <c r="D533" s="169" t="s">
        <v>2071</v>
      </c>
      <c r="E533" s="169" t="s">
        <v>2116</v>
      </c>
      <c r="F533" s="180">
        <f t="shared" si="170"/>
        <v>3.001824</v>
      </c>
      <c r="G533" s="180">
        <v>3.001824</v>
      </c>
      <c r="H533" s="180"/>
      <c r="I533" s="180"/>
      <c r="J533" s="180"/>
      <c r="K533" s="180"/>
      <c r="L533" s="180"/>
      <c r="M533" s="180">
        <f t="shared" si="171"/>
        <v>3.001824</v>
      </c>
      <c r="N533" s="180"/>
    </row>
    <row r="534" s="1" customFormat="1" ht="26.25" customHeight="1" spans="1:14">
      <c r="A534" s="168" t="s">
        <v>2110</v>
      </c>
      <c r="B534" s="169" t="s">
        <v>2111</v>
      </c>
      <c r="C534" s="170" t="s">
        <v>2118</v>
      </c>
      <c r="D534" s="169" t="s">
        <v>2071</v>
      </c>
      <c r="E534" s="169" t="s">
        <v>2121</v>
      </c>
      <c r="F534" s="180">
        <f t="shared" si="170"/>
        <v>8.932202</v>
      </c>
      <c r="G534" s="180">
        <v>8.932202</v>
      </c>
      <c r="H534" s="180"/>
      <c r="I534" s="180"/>
      <c r="J534" s="180"/>
      <c r="K534" s="180"/>
      <c r="L534" s="180"/>
      <c r="M534" s="180">
        <f t="shared" si="171"/>
        <v>8.932202</v>
      </c>
      <c r="N534" s="180"/>
    </row>
    <row r="535" s="1" customFormat="1" ht="26.25" customHeight="1" spans="1:14">
      <c r="A535" s="168" t="s">
        <v>2110</v>
      </c>
      <c r="B535" s="169" t="s">
        <v>2111</v>
      </c>
      <c r="C535" s="170" t="s">
        <v>1631</v>
      </c>
      <c r="D535" s="169" t="s">
        <v>1439</v>
      </c>
      <c r="E535" s="169" t="s">
        <v>2122</v>
      </c>
      <c r="F535" s="180">
        <f t="shared" si="170"/>
        <v>1.32</v>
      </c>
      <c r="G535" s="180">
        <v>1.32</v>
      </c>
      <c r="H535" s="180"/>
      <c r="I535" s="180"/>
      <c r="J535" s="180"/>
      <c r="K535" s="180"/>
      <c r="L535" s="180"/>
      <c r="M535" s="180">
        <f t="shared" si="171"/>
        <v>1.32</v>
      </c>
      <c r="N535" s="180"/>
    </row>
    <row r="536" s="1" customFormat="1" ht="26.25" customHeight="1" spans="1:14">
      <c r="A536" s="168" t="s">
        <v>2110</v>
      </c>
      <c r="B536" s="169" t="s">
        <v>2111</v>
      </c>
      <c r="C536" s="170" t="s">
        <v>1438</v>
      </c>
      <c r="D536" s="169" t="s">
        <v>1439</v>
      </c>
      <c r="E536" s="169" t="s">
        <v>2121</v>
      </c>
      <c r="F536" s="180">
        <f t="shared" si="170"/>
        <v>135.93921</v>
      </c>
      <c r="G536" s="180">
        <v>135.93921</v>
      </c>
      <c r="H536" s="180"/>
      <c r="I536" s="180"/>
      <c r="J536" s="180"/>
      <c r="K536" s="180"/>
      <c r="L536" s="180"/>
      <c r="M536" s="180">
        <f t="shared" si="171"/>
        <v>135.93921</v>
      </c>
      <c r="N536" s="180"/>
    </row>
    <row r="537" s="1" customFormat="1" ht="26.25" customHeight="1" spans="1:14">
      <c r="A537" s="168" t="s">
        <v>2110</v>
      </c>
      <c r="B537" s="169" t="s">
        <v>2111</v>
      </c>
      <c r="C537" s="170" t="s">
        <v>1631</v>
      </c>
      <c r="D537" s="169" t="s">
        <v>1439</v>
      </c>
      <c r="E537" s="169" t="s">
        <v>2116</v>
      </c>
      <c r="F537" s="180">
        <f t="shared" si="170"/>
        <v>3.794054</v>
      </c>
      <c r="G537" s="180">
        <v>3.794054</v>
      </c>
      <c r="H537" s="180"/>
      <c r="I537" s="180"/>
      <c r="J537" s="180"/>
      <c r="K537" s="180"/>
      <c r="L537" s="180"/>
      <c r="M537" s="180">
        <f t="shared" si="171"/>
        <v>3.794054</v>
      </c>
      <c r="N537" s="180"/>
    </row>
    <row r="538" s="1" customFormat="1" ht="26.25" customHeight="1" spans="1:14">
      <c r="A538" s="168" t="s">
        <v>2110</v>
      </c>
      <c r="B538" s="169" t="s">
        <v>2111</v>
      </c>
      <c r="C538" s="170" t="s">
        <v>2073</v>
      </c>
      <c r="D538" s="169" t="s">
        <v>2074</v>
      </c>
      <c r="E538" s="169" t="s">
        <v>2115</v>
      </c>
      <c r="F538" s="180">
        <f t="shared" si="170"/>
        <v>2.222991</v>
      </c>
      <c r="G538" s="180">
        <v>2.222991</v>
      </c>
      <c r="H538" s="180"/>
      <c r="I538" s="180"/>
      <c r="J538" s="180"/>
      <c r="K538" s="180"/>
      <c r="L538" s="180"/>
      <c r="M538" s="180">
        <f t="shared" si="171"/>
        <v>2.222991</v>
      </c>
      <c r="N538" s="180"/>
    </row>
    <row r="539" s="1" customFormat="1" ht="26.25" customHeight="1" spans="1:14">
      <c r="A539" s="168" t="s">
        <v>2110</v>
      </c>
      <c r="B539" s="169" t="s">
        <v>2111</v>
      </c>
      <c r="C539" s="170" t="s">
        <v>2118</v>
      </c>
      <c r="D539" s="169" t="s">
        <v>2071</v>
      </c>
      <c r="E539" s="169" t="s">
        <v>2117</v>
      </c>
      <c r="F539" s="180">
        <f t="shared" si="170"/>
        <v>25.0152</v>
      </c>
      <c r="G539" s="180">
        <v>25.0152</v>
      </c>
      <c r="H539" s="180"/>
      <c r="I539" s="180"/>
      <c r="J539" s="180">
        <v>12</v>
      </c>
      <c r="K539" s="180"/>
      <c r="L539" s="180"/>
      <c r="M539" s="180">
        <f t="shared" si="171"/>
        <v>37.0152</v>
      </c>
      <c r="N539" s="180"/>
    </row>
    <row r="540" s="1" customFormat="1" ht="26.25" customHeight="1" spans="1:14">
      <c r="A540" s="168" t="s">
        <v>2110</v>
      </c>
      <c r="B540" s="169" t="s">
        <v>2111</v>
      </c>
      <c r="C540" s="170" t="s">
        <v>2070</v>
      </c>
      <c r="D540" s="169" t="s">
        <v>2071</v>
      </c>
      <c r="E540" s="169" t="s">
        <v>2115</v>
      </c>
      <c r="F540" s="180">
        <f t="shared" si="170"/>
        <v>0.87449</v>
      </c>
      <c r="G540" s="180">
        <v>0.87449</v>
      </c>
      <c r="H540" s="180"/>
      <c r="I540" s="180"/>
      <c r="J540" s="180"/>
      <c r="K540" s="180"/>
      <c r="L540" s="180"/>
      <c r="M540" s="180">
        <f t="shared" si="171"/>
        <v>0.87449</v>
      </c>
      <c r="N540" s="180"/>
    </row>
    <row r="541" s="1" customFormat="1" ht="26.25" customHeight="1" spans="1:14">
      <c r="A541" s="168" t="s">
        <v>2110</v>
      </c>
      <c r="B541" s="169" t="s">
        <v>2111</v>
      </c>
      <c r="C541" s="170" t="s">
        <v>1631</v>
      </c>
      <c r="D541" s="169" t="s">
        <v>1439</v>
      </c>
      <c r="E541" s="169" t="s">
        <v>2123</v>
      </c>
      <c r="F541" s="180">
        <f t="shared" si="170"/>
        <v>2.8416</v>
      </c>
      <c r="G541" s="180">
        <v>2.8416</v>
      </c>
      <c r="H541" s="180"/>
      <c r="I541" s="180"/>
      <c r="J541" s="180"/>
      <c r="K541" s="180"/>
      <c r="L541" s="180"/>
      <c r="M541" s="180">
        <f t="shared" si="171"/>
        <v>2.8416</v>
      </c>
      <c r="N541" s="180"/>
    </row>
    <row r="542" s="1" customFormat="1" ht="26.25" customHeight="1" spans="1:14">
      <c r="A542" s="168" t="s">
        <v>2110</v>
      </c>
      <c r="B542" s="169" t="s">
        <v>2111</v>
      </c>
      <c r="C542" s="170" t="s">
        <v>2073</v>
      </c>
      <c r="D542" s="169" t="s">
        <v>2074</v>
      </c>
      <c r="E542" s="169" t="s">
        <v>2112</v>
      </c>
      <c r="F542" s="180">
        <f t="shared" si="170"/>
        <v>0.3</v>
      </c>
      <c r="G542" s="180">
        <v>0.3</v>
      </c>
      <c r="H542" s="180"/>
      <c r="I542" s="180"/>
      <c r="J542" s="180"/>
      <c r="K542" s="180"/>
      <c r="L542" s="180"/>
      <c r="M542" s="180">
        <f t="shared" si="171"/>
        <v>0.3</v>
      </c>
      <c r="N542" s="180"/>
    </row>
    <row r="543" s="1" customFormat="1" ht="26.25" customHeight="1" spans="1:14">
      <c r="A543" s="168" t="s">
        <v>2110</v>
      </c>
      <c r="B543" s="169" t="s">
        <v>2111</v>
      </c>
      <c r="C543" s="170" t="s">
        <v>2073</v>
      </c>
      <c r="D543" s="169" t="s">
        <v>2074</v>
      </c>
      <c r="E543" s="169" t="s">
        <v>2119</v>
      </c>
      <c r="F543" s="180">
        <f t="shared" si="170"/>
        <v>5</v>
      </c>
      <c r="G543" s="180">
        <v>5</v>
      </c>
      <c r="H543" s="180"/>
      <c r="I543" s="180"/>
      <c r="J543" s="180"/>
      <c r="K543" s="180"/>
      <c r="L543" s="180"/>
      <c r="M543" s="180">
        <f t="shared" si="171"/>
        <v>5</v>
      </c>
      <c r="N543" s="180"/>
    </row>
    <row r="544" s="1" customFormat="1" ht="26.25" customHeight="1" spans="1:14">
      <c r="A544" s="168" t="s">
        <v>2110</v>
      </c>
      <c r="B544" s="169" t="s">
        <v>2111</v>
      </c>
      <c r="C544" s="170" t="s">
        <v>2113</v>
      </c>
      <c r="D544" s="169" t="s">
        <v>2114</v>
      </c>
      <c r="E544" s="169" t="s">
        <v>2112</v>
      </c>
      <c r="F544" s="180">
        <f t="shared" si="170"/>
        <v>0.3</v>
      </c>
      <c r="G544" s="180">
        <v>0.3</v>
      </c>
      <c r="H544" s="180"/>
      <c r="I544" s="180"/>
      <c r="J544" s="180"/>
      <c r="K544" s="180"/>
      <c r="L544" s="180"/>
      <c r="M544" s="180">
        <f t="shared" si="171"/>
        <v>0.3</v>
      </c>
      <c r="N544" s="180"/>
    </row>
    <row r="545" s="1" customFormat="1" ht="26.25" customHeight="1" spans="1:14">
      <c r="A545" s="168" t="s">
        <v>2110</v>
      </c>
      <c r="B545" s="169" t="s">
        <v>2111</v>
      </c>
      <c r="C545" s="170" t="s">
        <v>2082</v>
      </c>
      <c r="D545" s="169" t="s">
        <v>2083</v>
      </c>
      <c r="E545" s="169" t="s">
        <v>2115</v>
      </c>
      <c r="F545" s="180">
        <f t="shared" si="170"/>
        <v>1.048374</v>
      </c>
      <c r="G545" s="180">
        <v>1.048374</v>
      </c>
      <c r="H545" s="180"/>
      <c r="I545" s="180"/>
      <c r="J545" s="180"/>
      <c r="K545" s="180"/>
      <c r="L545" s="180"/>
      <c r="M545" s="180">
        <f t="shared" si="171"/>
        <v>1.048374</v>
      </c>
      <c r="N545" s="180"/>
    </row>
    <row r="546" s="1" customFormat="1" ht="26.25" customHeight="1" spans="1:14">
      <c r="A546" s="168" t="s">
        <v>2110</v>
      </c>
      <c r="B546" s="169" t="s">
        <v>2111</v>
      </c>
      <c r="C546" s="170" t="s">
        <v>2082</v>
      </c>
      <c r="D546" s="169" t="s">
        <v>2083</v>
      </c>
      <c r="E546" s="169" t="s">
        <v>2121</v>
      </c>
      <c r="F546" s="180">
        <f t="shared" si="170"/>
        <v>8.397988</v>
      </c>
      <c r="G546" s="180">
        <v>8.397988</v>
      </c>
      <c r="H546" s="180"/>
      <c r="I546" s="180"/>
      <c r="J546" s="180"/>
      <c r="K546" s="180"/>
      <c r="L546" s="180"/>
      <c r="M546" s="180">
        <f t="shared" si="171"/>
        <v>8.397988</v>
      </c>
      <c r="N546" s="180"/>
    </row>
    <row r="547" s="1" customFormat="1" ht="26.25" customHeight="1" spans="1:14">
      <c r="A547" s="168" t="s">
        <v>2110</v>
      </c>
      <c r="B547" s="169" t="s">
        <v>2111</v>
      </c>
      <c r="C547" s="170" t="s">
        <v>2082</v>
      </c>
      <c r="D547" s="169" t="s">
        <v>2083</v>
      </c>
      <c r="E547" s="169" t="s">
        <v>2119</v>
      </c>
      <c r="F547" s="180">
        <f t="shared" si="170"/>
        <v>2</v>
      </c>
      <c r="G547" s="180">
        <v>2</v>
      </c>
      <c r="H547" s="180"/>
      <c r="I547" s="180"/>
      <c r="J547" s="180"/>
      <c r="K547" s="180"/>
      <c r="L547" s="180"/>
      <c r="M547" s="180">
        <f t="shared" si="171"/>
        <v>2</v>
      </c>
      <c r="N547" s="180"/>
    </row>
    <row r="548" s="1" customFormat="1" ht="26.25" customHeight="1" spans="1:14">
      <c r="A548" s="168" t="s">
        <v>2110</v>
      </c>
      <c r="B548" s="169" t="s">
        <v>2111</v>
      </c>
      <c r="C548" s="170" t="s">
        <v>2113</v>
      </c>
      <c r="D548" s="169" t="s">
        <v>2114</v>
      </c>
      <c r="E548" s="169" t="s">
        <v>2117</v>
      </c>
      <c r="F548" s="180">
        <f t="shared" si="170"/>
        <v>64.9913</v>
      </c>
      <c r="G548" s="180">
        <v>64.9913</v>
      </c>
      <c r="H548" s="180"/>
      <c r="I548" s="180"/>
      <c r="J548" s="180">
        <v>25</v>
      </c>
      <c r="K548" s="180"/>
      <c r="L548" s="180"/>
      <c r="M548" s="180">
        <f t="shared" si="171"/>
        <v>89.9913</v>
      </c>
      <c r="N548" s="180"/>
    </row>
    <row r="549" s="1" customFormat="1" ht="26.25" customHeight="1" spans="1:14">
      <c r="A549" s="168" t="s">
        <v>2110</v>
      </c>
      <c r="B549" s="169" t="s">
        <v>2111</v>
      </c>
      <c r="C549" s="170" t="s">
        <v>2073</v>
      </c>
      <c r="D549" s="169" t="s">
        <v>2074</v>
      </c>
      <c r="E549" s="169" t="s">
        <v>2116</v>
      </c>
      <c r="F549" s="180">
        <f t="shared" si="170"/>
        <v>5.927976</v>
      </c>
      <c r="G549" s="180">
        <v>5.927976</v>
      </c>
      <c r="H549" s="180"/>
      <c r="I549" s="180"/>
      <c r="J549" s="180"/>
      <c r="K549" s="180"/>
      <c r="L549" s="180"/>
      <c r="M549" s="180">
        <f t="shared" si="171"/>
        <v>5.927976</v>
      </c>
      <c r="N549" s="180"/>
    </row>
    <row r="550" s="1" customFormat="1" ht="26.25" customHeight="1" spans="1:14">
      <c r="A550" s="168" t="s">
        <v>2110</v>
      </c>
      <c r="B550" s="169" t="s">
        <v>2111</v>
      </c>
      <c r="C550" s="170" t="s">
        <v>2113</v>
      </c>
      <c r="D550" s="169" t="s">
        <v>2114</v>
      </c>
      <c r="E550" s="169" t="s">
        <v>2119</v>
      </c>
      <c r="F550" s="180">
        <f t="shared" si="170"/>
        <v>5</v>
      </c>
      <c r="G550" s="180">
        <v>5</v>
      </c>
      <c r="H550" s="180"/>
      <c r="I550" s="180"/>
      <c r="J550" s="180"/>
      <c r="K550" s="180"/>
      <c r="L550" s="180"/>
      <c r="M550" s="180">
        <f t="shared" si="171"/>
        <v>5</v>
      </c>
      <c r="N550" s="180"/>
    </row>
    <row r="551" s="1" customFormat="1" ht="26.25" customHeight="1" spans="1:14">
      <c r="A551" s="168" t="s">
        <v>2110</v>
      </c>
      <c r="B551" s="169" t="s">
        <v>2111</v>
      </c>
      <c r="C551" s="170" t="s">
        <v>1631</v>
      </c>
      <c r="D551" s="169" t="s">
        <v>1439</v>
      </c>
      <c r="E551" s="169" t="s">
        <v>2120</v>
      </c>
      <c r="F551" s="180">
        <f t="shared" si="170"/>
        <v>0.434434</v>
      </c>
      <c r="G551" s="180">
        <v>0.434434</v>
      </c>
      <c r="H551" s="180"/>
      <c r="I551" s="180"/>
      <c r="J551" s="180"/>
      <c r="K551" s="180"/>
      <c r="L551" s="180"/>
      <c r="M551" s="180">
        <f t="shared" si="171"/>
        <v>0.434434</v>
      </c>
      <c r="N551" s="180"/>
    </row>
    <row r="552" s="1" customFormat="1" ht="26.25" customHeight="1" spans="1:14">
      <c r="A552" s="168" t="s">
        <v>2110</v>
      </c>
      <c r="B552" s="169" t="s">
        <v>2111</v>
      </c>
      <c r="C552" s="170" t="s">
        <v>1438</v>
      </c>
      <c r="D552" s="169" t="s">
        <v>1439</v>
      </c>
      <c r="E552" s="169" t="s">
        <v>2112</v>
      </c>
      <c r="F552" s="180">
        <f t="shared" si="170"/>
        <v>2.5</v>
      </c>
      <c r="G552" s="180">
        <v>2.5</v>
      </c>
      <c r="H552" s="180"/>
      <c r="I552" s="180"/>
      <c r="J552" s="180"/>
      <c r="K552" s="180"/>
      <c r="L552" s="180"/>
      <c r="M552" s="180">
        <f t="shared" si="171"/>
        <v>2.5</v>
      </c>
      <c r="N552" s="180"/>
    </row>
    <row r="553" s="1" customFormat="1" ht="26.25" customHeight="1" spans="1:14">
      <c r="A553" s="168" t="s">
        <v>2110</v>
      </c>
      <c r="B553" s="169" t="s">
        <v>2111</v>
      </c>
      <c r="C553" s="170" t="s">
        <v>2113</v>
      </c>
      <c r="D553" s="169" t="s">
        <v>2114</v>
      </c>
      <c r="E553" s="169" t="s">
        <v>2120</v>
      </c>
      <c r="F553" s="180">
        <f t="shared" si="170"/>
        <v>0.827971</v>
      </c>
      <c r="G553" s="180">
        <v>0.827971</v>
      </c>
      <c r="H553" s="180"/>
      <c r="I553" s="180"/>
      <c r="J553" s="180"/>
      <c r="K553" s="180"/>
      <c r="L553" s="180"/>
      <c r="M553" s="180">
        <f t="shared" si="171"/>
        <v>0.827971</v>
      </c>
      <c r="N553" s="180"/>
    </row>
    <row r="554" s="1" customFormat="1" ht="26.25" customHeight="1" spans="1:14">
      <c r="A554" s="168" t="s">
        <v>2110</v>
      </c>
      <c r="B554" s="169" t="s">
        <v>2111</v>
      </c>
      <c r="C554" s="170" t="s">
        <v>2073</v>
      </c>
      <c r="D554" s="169" t="s">
        <v>2074</v>
      </c>
      <c r="E554" s="169" t="s">
        <v>2120</v>
      </c>
      <c r="F554" s="180">
        <f t="shared" si="170"/>
        <v>2.704403</v>
      </c>
      <c r="G554" s="180">
        <v>2.704403</v>
      </c>
      <c r="H554" s="180"/>
      <c r="I554" s="180"/>
      <c r="J554" s="180"/>
      <c r="K554" s="180"/>
      <c r="L554" s="180"/>
      <c r="M554" s="180">
        <f t="shared" si="171"/>
        <v>2.704403</v>
      </c>
      <c r="N554" s="180"/>
    </row>
    <row r="555" s="1" customFormat="1" ht="26.25" customHeight="1" spans="1:14">
      <c r="A555" s="168" t="s">
        <v>2110</v>
      </c>
      <c r="B555" s="169" t="s">
        <v>2111</v>
      </c>
      <c r="C555" s="170" t="s">
        <v>2113</v>
      </c>
      <c r="D555" s="169" t="s">
        <v>2114</v>
      </c>
      <c r="E555" s="169" t="s">
        <v>2116</v>
      </c>
      <c r="F555" s="180">
        <f t="shared" si="170"/>
        <v>7.798956</v>
      </c>
      <c r="G555" s="180">
        <v>7.798956</v>
      </c>
      <c r="H555" s="180"/>
      <c r="I555" s="180"/>
      <c r="J555" s="180"/>
      <c r="K555" s="180"/>
      <c r="L555" s="180"/>
      <c r="M555" s="180">
        <f t="shared" si="171"/>
        <v>7.798956</v>
      </c>
      <c r="N555" s="180"/>
    </row>
    <row r="556" s="1" customFormat="1" ht="26.25" customHeight="1" spans="1:14">
      <c r="A556" s="168" t="s">
        <v>2110</v>
      </c>
      <c r="B556" s="169" t="s">
        <v>2111</v>
      </c>
      <c r="C556" s="170" t="s">
        <v>1438</v>
      </c>
      <c r="D556" s="169" t="s">
        <v>1439</v>
      </c>
      <c r="E556" s="169" t="s">
        <v>2123</v>
      </c>
      <c r="F556" s="180">
        <f t="shared" si="170"/>
        <v>85.512</v>
      </c>
      <c r="G556" s="180">
        <v>85.512</v>
      </c>
      <c r="H556" s="180"/>
      <c r="I556" s="180"/>
      <c r="J556" s="180"/>
      <c r="K556" s="180"/>
      <c r="L556" s="180"/>
      <c r="M556" s="180">
        <f t="shared" si="171"/>
        <v>85.512</v>
      </c>
      <c r="N556" s="180"/>
    </row>
    <row r="557" s="1" customFormat="1" ht="26.25" customHeight="1" spans="1:14">
      <c r="A557" s="168" t="s">
        <v>2110</v>
      </c>
      <c r="B557" s="169" t="s">
        <v>2111</v>
      </c>
      <c r="C557" s="170" t="s">
        <v>1438</v>
      </c>
      <c r="D557" s="169" t="s">
        <v>1439</v>
      </c>
      <c r="E557" s="169" t="s">
        <v>2122</v>
      </c>
      <c r="F557" s="180">
        <f t="shared" si="170"/>
        <v>27.92</v>
      </c>
      <c r="G557" s="180">
        <v>27.92</v>
      </c>
      <c r="H557" s="180"/>
      <c r="I557" s="180"/>
      <c r="J557" s="180"/>
      <c r="K557" s="180"/>
      <c r="L557" s="180"/>
      <c r="M557" s="180">
        <f t="shared" si="171"/>
        <v>27.92</v>
      </c>
      <c r="N557" s="180"/>
    </row>
    <row r="558" s="1" customFormat="1" ht="26.25" customHeight="1" spans="1:14">
      <c r="A558" s="168" t="s">
        <v>2110</v>
      </c>
      <c r="B558" s="169" t="s">
        <v>2111</v>
      </c>
      <c r="C558" s="170" t="s">
        <v>2070</v>
      </c>
      <c r="D558" s="169" t="s">
        <v>2071</v>
      </c>
      <c r="E558" s="169" t="s">
        <v>2119</v>
      </c>
      <c r="F558" s="180">
        <f t="shared" si="170"/>
        <v>2</v>
      </c>
      <c r="G558" s="180">
        <v>2</v>
      </c>
      <c r="H558" s="180"/>
      <c r="I558" s="180"/>
      <c r="J558" s="180"/>
      <c r="K558" s="180"/>
      <c r="L558" s="180"/>
      <c r="M558" s="180">
        <f t="shared" si="171"/>
        <v>2</v>
      </c>
      <c r="N558" s="180"/>
    </row>
    <row r="559" s="1" customFormat="1" ht="26.25" customHeight="1" spans="1:14">
      <c r="A559" s="168" t="s">
        <v>2110</v>
      </c>
      <c r="B559" s="169" t="s">
        <v>2111</v>
      </c>
      <c r="C559" s="170" t="s">
        <v>2070</v>
      </c>
      <c r="D559" s="169" t="s">
        <v>2071</v>
      </c>
      <c r="E559" s="169" t="s">
        <v>2121</v>
      </c>
      <c r="F559" s="180">
        <f t="shared" si="170"/>
        <v>6.975207</v>
      </c>
      <c r="G559" s="180">
        <v>6.975207</v>
      </c>
      <c r="H559" s="180"/>
      <c r="I559" s="180"/>
      <c r="J559" s="180"/>
      <c r="K559" s="180"/>
      <c r="L559" s="180"/>
      <c r="M559" s="180">
        <f t="shared" si="171"/>
        <v>6.975207</v>
      </c>
      <c r="N559" s="180"/>
    </row>
    <row r="560" s="1" customFormat="1" ht="26.25" customHeight="1" spans="1:14">
      <c r="A560" s="168" t="s">
        <v>2110</v>
      </c>
      <c r="B560" s="169" t="s">
        <v>2111</v>
      </c>
      <c r="C560" s="170" t="s">
        <v>2073</v>
      </c>
      <c r="D560" s="169" t="s">
        <v>2074</v>
      </c>
      <c r="E560" s="169" t="s">
        <v>2117</v>
      </c>
      <c r="F560" s="180">
        <f t="shared" si="170"/>
        <v>49.3998</v>
      </c>
      <c r="G560" s="180">
        <v>49.3998</v>
      </c>
      <c r="H560" s="180"/>
      <c r="I560" s="180"/>
      <c r="J560" s="180">
        <v>25.84</v>
      </c>
      <c r="K560" s="180"/>
      <c r="L560" s="180"/>
      <c r="M560" s="180">
        <f t="shared" si="171"/>
        <v>75.2398</v>
      </c>
      <c r="N560" s="180"/>
    </row>
    <row r="561" s="1" customFormat="1" ht="26.25" customHeight="1" spans="1:14">
      <c r="A561" s="168" t="s">
        <v>2110</v>
      </c>
      <c r="B561" s="169" t="s">
        <v>2111</v>
      </c>
      <c r="C561" s="170" t="s">
        <v>1631</v>
      </c>
      <c r="D561" s="169" t="s">
        <v>1439</v>
      </c>
      <c r="E561" s="169" t="s">
        <v>2121</v>
      </c>
      <c r="F561" s="180">
        <f t="shared" si="170"/>
        <v>10.173625</v>
      </c>
      <c r="G561" s="180">
        <v>10.173625</v>
      </c>
      <c r="H561" s="180"/>
      <c r="I561" s="180"/>
      <c r="J561" s="180"/>
      <c r="K561" s="180"/>
      <c r="L561" s="180"/>
      <c r="M561" s="180">
        <f t="shared" si="171"/>
        <v>10.173625</v>
      </c>
      <c r="N561" s="180"/>
    </row>
    <row r="562" s="1" customFormat="1" ht="26.25" customHeight="1" spans="1:14">
      <c r="A562" s="168" t="s">
        <v>2110</v>
      </c>
      <c r="B562" s="169" t="s">
        <v>2111</v>
      </c>
      <c r="C562" s="170" t="s">
        <v>1438</v>
      </c>
      <c r="D562" s="169" t="s">
        <v>1439</v>
      </c>
      <c r="E562" s="169" t="s">
        <v>2117</v>
      </c>
      <c r="F562" s="180">
        <f t="shared" si="170"/>
        <v>410.2337</v>
      </c>
      <c r="G562" s="180">
        <v>410.2337</v>
      </c>
      <c r="H562" s="180"/>
      <c r="I562" s="180"/>
      <c r="J562" s="180">
        <v>50</v>
      </c>
      <c r="K562" s="180"/>
      <c r="L562" s="180"/>
      <c r="M562" s="180">
        <f t="shared" si="171"/>
        <v>460.2337</v>
      </c>
      <c r="N562" s="180"/>
    </row>
    <row r="563" s="1" customFormat="1" ht="26.25" customHeight="1" spans="1:14">
      <c r="A563" s="168" t="s">
        <v>2110</v>
      </c>
      <c r="B563" s="169" t="s">
        <v>2111</v>
      </c>
      <c r="C563" s="170" t="s">
        <v>2113</v>
      </c>
      <c r="D563" s="169" t="s">
        <v>2114</v>
      </c>
      <c r="E563" s="169" t="s">
        <v>2121</v>
      </c>
      <c r="F563" s="180">
        <f t="shared" si="170"/>
        <v>23.52396</v>
      </c>
      <c r="G563" s="180">
        <v>23.52396</v>
      </c>
      <c r="H563" s="180"/>
      <c r="I563" s="180"/>
      <c r="J563" s="180"/>
      <c r="K563" s="180"/>
      <c r="L563" s="180"/>
      <c r="M563" s="180">
        <f t="shared" si="171"/>
        <v>23.52396</v>
      </c>
      <c r="N563" s="180"/>
    </row>
    <row r="564" s="1" customFormat="1" ht="26.25" customHeight="1" spans="1:14">
      <c r="A564" s="168" t="s">
        <v>2110</v>
      </c>
      <c r="B564" s="169" t="s">
        <v>2111</v>
      </c>
      <c r="C564" s="170" t="s">
        <v>2070</v>
      </c>
      <c r="D564" s="169" t="s">
        <v>2071</v>
      </c>
      <c r="E564" s="169" t="s">
        <v>2116</v>
      </c>
      <c r="F564" s="180">
        <f t="shared" si="170"/>
        <v>2.331972</v>
      </c>
      <c r="G564" s="180">
        <v>2.331972</v>
      </c>
      <c r="H564" s="180"/>
      <c r="I564" s="180"/>
      <c r="J564" s="180"/>
      <c r="K564" s="180"/>
      <c r="L564" s="180"/>
      <c r="M564" s="180">
        <f t="shared" si="171"/>
        <v>2.331972</v>
      </c>
      <c r="N564" s="180"/>
    </row>
    <row r="565" s="1" customFormat="1" ht="26.25" customHeight="1" spans="1:14">
      <c r="A565" s="168" t="s">
        <v>2110</v>
      </c>
      <c r="B565" s="169" t="s">
        <v>2111</v>
      </c>
      <c r="C565" s="170" t="s">
        <v>1438</v>
      </c>
      <c r="D565" s="169" t="s">
        <v>1439</v>
      </c>
      <c r="E565" s="169" t="s">
        <v>2119</v>
      </c>
      <c r="F565" s="180">
        <f t="shared" si="170"/>
        <v>32</v>
      </c>
      <c r="G565" s="180">
        <v>32</v>
      </c>
      <c r="H565" s="180"/>
      <c r="I565" s="180"/>
      <c r="J565" s="180"/>
      <c r="K565" s="180"/>
      <c r="L565" s="180"/>
      <c r="M565" s="180">
        <f t="shared" si="171"/>
        <v>32</v>
      </c>
      <c r="N565" s="180"/>
    </row>
    <row r="566" s="1" customFormat="1" ht="26.25" customHeight="1" spans="1:14">
      <c r="A566" s="168" t="s">
        <v>2110</v>
      </c>
      <c r="B566" s="169" t="s">
        <v>2111</v>
      </c>
      <c r="C566" s="170" t="s">
        <v>1631</v>
      </c>
      <c r="D566" s="169" t="s">
        <v>1439</v>
      </c>
      <c r="E566" s="169" t="s">
        <v>2117</v>
      </c>
      <c r="F566" s="180">
        <f t="shared" si="170"/>
        <v>30.29712</v>
      </c>
      <c r="G566" s="180">
        <v>30.29712</v>
      </c>
      <c r="H566" s="180"/>
      <c r="I566" s="180"/>
      <c r="J566" s="180"/>
      <c r="K566" s="180"/>
      <c r="L566" s="180"/>
      <c r="M566" s="180">
        <f t="shared" si="171"/>
        <v>30.29712</v>
      </c>
      <c r="N566" s="180"/>
    </row>
    <row r="567" s="1" customFormat="1" ht="26.25" customHeight="1" spans="1:14">
      <c r="A567" s="168" t="s">
        <v>2110</v>
      </c>
      <c r="B567" s="169" t="s">
        <v>2111</v>
      </c>
      <c r="C567" s="170" t="s">
        <v>1438</v>
      </c>
      <c r="D567" s="169" t="s">
        <v>1439</v>
      </c>
      <c r="E567" s="169" t="s">
        <v>2116</v>
      </c>
      <c r="F567" s="180">
        <f t="shared" si="170"/>
        <v>51.618444</v>
      </c>
      <c r="G567" s="180">
        <v>51.618444</v>
      </c>
      <c r="H567" s="180"/>
      <c r="I567" s="180"/>
      <c r="J567" s="180"/>
      <c r="K567" s="180"/>
      <c r="L567" s="180"/>
      <c r="M567" s="180">
        <f t="shared" si="171"/>
        <v>51.618444</v>
      </c>
      <c r="N567" s="180"/>
    </row>
    <row r="568" s="1" customFormat="1" ht="26.25" customHeight="1" spans="1:14">
      <c r="A568" s="168" t="s">
        <v>2110</v>
      </c>
      <c r="B568" s="169" t="s">
        <v>2111</v>
      </c>
      <c r="C568" s="170" t="s">
        <v>2070</v>
      </c>
      <c r="D568" s="169" t="s">
        <v>2071</v>
      </c>
      <c r="E568" s="169" t="s">
        <v>2117</v>
      </c>
      <c r="F568" s="180">
        <f t="shared" si="170"/>
        <v>19.4331</v>
      </c>
      <c r="G568" s="180">
        <v>19.4331</v>
      </c>
      <c r="H568" s="180"/>
      <c r="I568" s="180"/>
      <c r="J568" s="180">
        <v>10</v>
      </c>
      <c r="K568" s="180"/>
      <c r="L568" s="180"/>
      <c r="M568" s="180">
        <f t="shared" si="171"/>
        <v>29.4331</v>
      </c>
      <c r="N568" s="180"/>
    </row>
    <row r="569" s="1" customFormat="1" ht="26.25" customHeight="1" spans="1:14">
      <c r="A569" s="168" t="s">
        <v>2110</v>
      </c>
      <c r="B569" s="169" t="s">
        <v>2111</v>
      </c>
      <c r="C569" s="170" t="s">
        <v>1438</v>
      </c>
      <c r="D569" s="169" t="s">
        <v>1439</v>
      </c>
      <c r="E569" s="169" t="s">
        <v>2115</v>
      </c>
      <c r="F569" s="180">
        <f t="shared" si="170"/>
        <v>19.356916</v>
      </c>
      <c r="G569" s="180">
        <v>19.356916</v>
      </c>
      <c r="H569" s="180"/>
      <c r="I569" s="180"/>
      <c r="J569" s="180"/>
      <c r="K569" s="180"/>
      <c r="L569" s="180"/>
      <c r="M569" s="180">
        <f t="shared" si="171"/>
        <v>19.356916</v>
      </c>
      <c r="N569" s="180"/>
    </row>
    <row r="570" s="1" customFormat="1" ht="26.25" customHeight="1" spans="1:14">
      <c r="A570" s="168" t="s">
        <v>2110</v>
      </c>
      <c r="B570" s="169" t="s">
        <v>2111</v>
      </c>
      <c r="C570" s="170" t="s">
        <v>2073</v>
      </c>
      <c r="D570" s="169" t="s">
        <v>2074</v>
      </c>
      <c r="E570" s="169" t="s">
        <v>2123</v>
      </c>
      <c r="F570" s="180">
        <f t="shared" si="170"/>
        <v>3.756</v>
      </c>
      <c r="G570" s="180">
        <v>3.756</v>
      </c>
      <c r="H570" s="180"/>
      <c r="I570" s="180"/>
      <c r="J570" s="180"/>
      <c r="K570" s="180"/>
      <c r="L570" s="180"/>
      <c r="M570" s="180">
        <f t="shared" si="171"/>
        <v>3.756</v>
      </c>
      <c r="N570" s="180"/>
    </row>
    <row r="571" s="1" customFormat="1" ht="26.25" customHeight="1" spans="1:14">
      <c r="A571" s="168" t="s">
        <v>2110</v>
      </c>
      <c r="B571" s="169" t="s">
        <v>2111</v>
      </c>
      <c r="C571" s="170" t="s">
        <v>1631</v>
      </c>
      <c r="D571" s="169" t="s">
        <v>1439</v>
      </c>
      <c r="E571" s="169" t="s">
        <v>2119</v>
      </c>
      <c r="F571" s="180">
        <f t="shared" si="170"/>
        <v>2</v>
      </c>
      <c r="G571" s="180">
        <v>2</v>
      </c>
      <c r="H571" s="180"/>
      <c r="I571" s="180"/>
      <c r="J571" s="180"/>
      <c r="K571" s="180"/>
      <c r="L571" s="180"/>
      <c r="M571" s="180">
        <f t="shared" si="171"/>
        <v>2</v>
      </c>
      <c r="N571" s="180"/>
    </row>
    <row r="572" s="1" customFormat="1" ht="26.25" customHeight="1" spans="1:14">
      <c r="A572" s="168" t="s">
        <v>2110</v>
      </c>
      <c r="B572" s="169" t="s">
        <v>2111</v>
      </c>
      <c r="C572" s="170" t="s">
        <v>1631</v>
      </c>
      <c r="D572" s="169" t="s">
        <v>1439</v>
      </c>
      <c r="E572" s="169" t="s">
        <v>2115</v>
      </c>
      <c r="F572" s="180">
        <f t="shared" si="170"/>
        <v>1.42277</v>
      </c>
      <c r="G572" s="180">
        <v>1.42277</v>
      </c>
      <c r="H572" s="180"/>
      <c r="I572" s="180"/>
      <c r="J572" s="180"/>
      <c r="K572" s="180"/>
      <c r="L572" s="180"/>
      <c r="M572" s="180">
        <f t="shared" si="171"/>
        <v>1.42277</v>
      </c>
      <c r="N572" s="180"/>
    </row>
    <row r="573" s="1" customFormat="1" ht="26.25" customHeight="1" spans="1:14">
      <c r="A573" s="168" t="s">
        <v>2110</v>
      </c>
      <c r="B573" s="169" t="s">
        <v>2111</v>
      </c>
      <c r="C573" s="170" t="s">
        <v>2073</v>
      </c>
      <c r="D573" s="169" t="s">
        <v>2074</v>
      </c>
      <c r="E573" s="169" t="s">
        <v>2121</v>
      </c>
      <c r="F573" s="180">
        <f t="shared" si="170"/>
        <v>17.735533</v>
      </c>
      <c r="G573" s="180">
        <v>17.735533</v>
      </c>
      <c r="H573" s="180"/>
      <c r="I573" s="180"/>
      <c r="J573" s="180"/>
      <c r="K573" s="180"/>
      <c r="L573" s="180"/>
      <c r="M573" s="180">
        <f t="shared" si="171"/>
        <v>17.735533</v>
      </c>
      <c r="N573" s="180"/>
    </row>
    <row r="574" s="1" customFormat="1" ht="26.25" customHeight="1" spans="1:14">
      <c r="A574" s="189" t="s">
        <v>2124</v>
      </c>
      <c r="B574" s="190" t="s">
        <v>1390</v>
      </c>
      <c r="C574" s="191"/>
      <c r="D574" s="192"/>
      <c r="E574" s="192"/>
      <c r="F574" s="167">
        <f t="shared" ref="F574:M574" si="172">SUM(F575:F582)</f>
        <v>190.905942</v>
      </c>
      <c r="G574" s="167">
        <f t="shared" si="172"/>
        <v>190.905942</v>
      </c>
      <c r="H574" s="167">
        <f t="shared" si="172"/>
        <v>0</v>
      </c>
      <c r="I574" s="167">
        <f t="shared" si="172"/>
        <v>0</v>
      </c>
      <c r="J574" s="167">
        <f t="shared" si="172"/>
        <v>40</v>
      </c>
      <c r="K574" s="167">
        <f t="shared" si="172"/>
        <v>0</v>
      </c>
      <c r="L574" s="167">
        <f t="shared" si="172"/>
        <v>0</v>
      </c>
      <c r="M574" s="167">
        <f t="shared" si="172"/>
        <v>230.905942</v>
      </c>
      <c r="N574" s="167"/>
    </row>
    <row r="575" s="1" customFormat="1" ht="26.25" customHeight="1" spans="1:14">
      <c r="A575" s="168" t="s">
        <v>2125</v>
      </c>
      <c r="B575" s="169" t="s">
        <v>2126</v>
      </c>
      <c r="C575" s="170" t="s">
        <v>2087</v>
      </c>
      <c r="D575" s="169" t="s">
        <v>2071</v>
      </c>
      <c r="E575" s="169" t="s">
        <v>2127</v>
      </c>
      <c r="F575" s="180">
        <f t="shared" ref="F575:F582" si="173">SUM(G575:H575)</f>
        <v>22.9032</v>
      </c>
      <c r="G575" s="180">
        <v>22.9032</v>
      </c>
      <c r="H575" s="180"/>
      <c r="I575" s="180"/>
      <c r="J575" s="180"/>
      <c r="K575" s="180"/>
      <c r="L575" s="180"/>
      <c r="M575" s="180">
        <f t="shared" ref="M575:M582" si="174">F575+I575+J575+K575-L575</f>
        <v>22.9032</v>
      </c>
      <c r="N575" s="180"/>
    </row>
    <row r="576" s="1" customFormat="1" ht="26.25" customHeight="1" spans="1:14">
      <c r="A576" s="168" t="s">
        <v>2125</v>
      </c>
      <c r="B576" s="169" t="s">
        <v>2126</v>
      </c>
      <c r="C576" s="170" t="s">
        <v>2087</v>
      </c>
      <c r="D576" s="169" t="s">
        <v>2071</v>
      </c>
      <c r="E576" s="169" t="s">
        <v>2128</v>
      </c>
      <c r="F576" s="180">
        <f t="shared" si="173"/>
        <v>100.1243</v>
      </c>
      <c r="G576" s="180">
        <v>100.1243</v>
      </c>
      <c r="H576" s="180"/>
      <c r="I576" s="180"/>
      <c r="J576" s="180">
        <v>40</v>
      </c>
      <c r="K576" s="180"/>
      <c r="L576" s="180"/>
      <c r="M576" s="180">
        <f t="shared" si="174"/>
        <v>140.1243</v>
      </c>
      <c r="N576" s="180"/>
    </row>
    <row r="577" s="1" customFormat="1" ht="26.25" customHeight="1" spans="1:14">
      <c r="A577" s="168" t="s">
        <v>2125</v>
      </c>
      <c r="B577" s="169" t="s">
        <v>2126</v>
      </c>
      <c r="C577" s="170" t="s">
        <v>2087</v>
      </c>
      <c r="D577" s="169" t="s">
        <v>2071</v>
      </c>
      <c r="E577" s="169" t="s">
        <v>2129</v>
      </c>
      <c r="F577" s="180">
        <f t="shared" si="173"/>
        <v>9</v>
      </c>
      <c r="G577" s="180">
        <v>9</v>
      </c>
      <c r="H577" s="180"/>
      <c r="I577" s="180"/>
      <c r="J577" s="180"/>
      <c r="K577" s="180"/>
      <c r="L577" s="180"/>
      <c r="M577" s="180">
        <f t="shared" si="174"/>
        <v>9</v>
      </c>
      <c r="N577" s="180"/>
    </row>
    <row r="578" s="1" customFormat="1" ht="26.25" customHeight="1" spans="1:14">
      <c r="A578" s="168" t="s">
        <v>2125</v>
      </c>
      <c r="B578" s="169" t="s">
        <v>2126</v>
      </c>
      <c r="C578" s="170" t="s">
        <v>2087</v>
      </c>
      <c r="D578" s="169" t="s">
        <v>2071</v>
      </c>
      <c r="E578" s="169" t="s">
        <v>2130</v>
      </c>
      <c r="F578" s="180">
        <f t="shared" si="173"/>
        <v>0.6</v>
      </c>
      <c r="G578" s="180">
        <v>0.6</v>
      </c>
      <c r="H578" s="180"/>
      <c r="I578" s="180"/>
      <c r="J578" s="180"/>
      <c r="K578" s="180"/>
      <c r="L578" s="180"/>
      <c r="M578" s="180">
        <f t="shared" si="174"/>
        <v>0.6</v>
      </c>
      <c r="N578" s="180"/>
    </row>
    <row r="579" s="1" customFormat="1" ht="26.25" customHeight="1" spans="1:14">
      <c r="A579" s="168" t="s">
        <v>2125</v>
      </c>
      <c r="B579" s="169" t="s">
        <v>2126</v>
      </c>
      <c r="C579" s="170" t="s">
        <v>2087</v>
      </c>
      <c r="D579" s="169" t="s">
        <v>2071</v>
      </c>
      <c r="E579" s="169" t="s">
        <v>2131</v>
      </c>
      <c r="F579" s="180">
        <f t="shared" si="173"/>
        <v>4.505594</v>
      </c>
      <c r="G579" s="180">
        <v>4.505594</v>
      </c>
      <c r="H579" s="180"/>
      <c r="I579" s="180"/>
      <c r="J579" s="180"/>
      <c r="K579" s="180"/>
      <c r="L579" s="180"/>
      <c r="M579" s="180">
        <f t="shared" si="174"/>
        <v>4.505594</v>
      </c>
      <c r="N579" s="180"/>
    </row>
    <row r="580" s="1" customFormat="1" ht="26.25" customHeight="1" spans="1:14">
      <c r="A580" s="168" t="s">
        <v>2125</v>
      </c>
      <c r="B580" s="169" t="s">
        <v>2126</v>
      </c>
      <c r="C580" s="170" t="s">
        <v>2087</v>
      </c>
      <c r="D580" s="169" t="s">
        <v>2071</v>
      </c>
      <c r="E580" s="169" t="s">
        <v>2132</v>
      </c>
      <c r="F580" s="180">
        <f t="shared" si="173"/>
        <v>36.087405</v>
      </c>
      <c r="G580" s="180">
        <v>36.087405</v>
      </c>
      <c r="H580" s="180"/>
      <c r="I580" s="180"/>
      <c r="J580" s="180"/>
      <c r="K580" s="180"/>
      <c r="L580" s="180"/>
      <c r="M580" s="180">
        <f t="shared" si="174"/>
        <v>36.087405</v>
      </c>
      <c r="N580" s="180"/>
    </row>
    <row r="581" s="1" customFormat="1" ht="26.25" customHeight="1" spans="1:14">
      <c r="A581" s="168" t="s">
        <v>2125</v>
      </c>
      <c r="B581" s="169" t="s">
        <v>2126</v>
      </c>
      <c r="C581" s="170" t="s">
        <v>2087</v>
      </c>
      <c r="D581" s="169" t="s">
        <v>2071</v>
      </c>
      <c r="E581" s="169" t="s">
        <v>2133</v>
      </c>
      <c r="F581" s="180">
        <f t="shared" si="173"/>
        <v>12.014916</v>
      </c>
      <c r="G581" s="180">
        <v>12.014916</v>
      </c>
      <c r="H581" s="180"/>
      <c r="I581" s="180"/>
      <c r="J581" s="180"/>
      <c r="K581" s="180"/>
      <c r="L581" s="180"/>
      <c r="M581" s="180">
        <f t="shared" si="174"/>
        <v>12.014916</v>
      </c>
      <c r="N581" s="180"/>
    </row>
    <row r="582" s="1" customFormat="1" ht="26.25" customHeight="1" spans="1:14">
      <c r="A582" s="168" t="s">
        <v>2125</v>
      </c>
      <c r="B582" s="169" t="s">
        <v>2126</v>
      </c>
      <c r="C582" s="170" t="s">
        <v>2087</v>
      </c>
      <c r="D582" s="169" t="s">
        <v>2071</v>
      </c>
      <c r="E582" s="169" t="s">
        <v>2134</v>
      </c>
      <c r="F582" s="180">
        <f t="shared" si="173"/>
        <v>5.670527</v>
      </c>
      <c r="G582" s="180">
        <v>5.670527</v>
      </c>
      <c r="H582" s="180"/>
      <c r="I582" s="180"/>
      <c r="J582" s="180"/>
      <c r="K582" s="180"/>
      <c r="L582" s="180"/>
      <c r="M582" s="180">
        <f t="shared" si="174"/>
        <v>5.670527</v>
      </c>
      <c r="N582" s="180"/>
    </row>
    <row r="583" s="1" customFormat="1" ht="26.25" customHeight="1" spans="1:14">
      <c r="A583" s="189" t="s">
        <v>2135</v>
      </c>
      <c r="B583" s="190" t="s">
        <v>1392</v>
      </c>
      <c r="C583" s="191"/>
      <c r="D583" s="192"/>
      <c r="E583" s="192"/>
      <c r="F583" s="167">
        <f t="shared" ref="F583:M583" si="175">SUM(F584:F619)</f>
        <v>918.63892</v>
      </c>
      <c r="G583" s="167">
        <f t="shared" si="175"/>
        <v>918.63892</v>
      </c>
      <c r="H583" s="167">
        <f t="shared" si="175"/>
        <v>0</v>
      </c>
      <c r="I583" s="167">
        <f t="shared" si="175"/>
        <v>0</v>
      </c>
      <c r="J583" s="167">
        <f t="shared" si="175"/>
        <v>30</v>
      </c>
      <c r="K583" s="167">
        <f t="shared" si="175"/>
        <v>0</v>
      </c>
      <c r="L583" s="167">
        <f t="shared" si="175"/>
        <v>0</v>
      </c>
      <c r="M583" s="167">
        <f t="shared" si="175"/>
        <v>948.63892</v>
      </c>
      <c r="N583" s="167"/>
    </row>
    <row r="584" s="1" customFormat="1" ht="26.25" customHeight="1" spans="1:14">
      <c r="A584" s="168" t="s">
        <v>2136</v>
      </c>
      <c r="B584" s="169" t="s">
        <v>2137</v>
      </c>
      <c r="C584" s="170" t="s">
        <v>2070</v>
      </c>
      <c r="D584" s="169" t="s">
        <v>2071</v>
      </c>
      <c r="E584" s="169" t="s">
        <v>2138</v>
      </c>
      <c r="F584" s="180">
        <f t="shared" ref="F584:F619" si="176">SUM(G584:H584)</f>
        <v>41.1574</v>
      </c>
      <c r="G584" s="180">
        <v>41.1574</v>
      </c>
      <c r="H584" s="180"/>
      <c r="I584" s="180"/>
      <c r="J584" s="180"/>
      <c r="K584" s="180"/>
      <c r="L584" s="180"/>
      <c r="M584" s="180">
        <f t="shared" ref="M584:M619" si="177">F584+I584+J584+K584-L584</f>
        <v>41.1574</v>
      </c>
      <c r="N584" s="180"/>
    </row>
    <row r="585" s="1" customFormat="1" ht="26.25" customHeight="1" spans="1:14">
      <c r="A585" s="168" t="s">
        <v>2136</v>
      </c>
      <c r="B585" s="169" t="s">
        <v>2137</v>
      </c>
      <c r="C585" s="170" t="s">
        <v>2118</v>
      </c>
      <c r="D585" s="169" t="s">
        <v>2071</v>
      </c>
      <c r="E585" s="169" t="s">
        <v>2139</v>
      </c>
      <c r="F585" s="180">
        <f t="shared" si="176"/>
        <v>2</v>
      </c>
      <c r="G585" s="180">
        <v>2</v>
      </c>
      <c r="H585" s="180"/>
      <c r="I585" s="180"/>
      <c r="J585" s="180"/>
      <c r="K585" s="180"/>
      <c r="L585" s="180"/>
      <c r="M585" s="180">
        <f t="shared" si="177"/>
        <v>2</v>
      </c>
      <c r="N585" s="180"/>
    </row>
    <row r="586" s="1" customFormat="1" ht="26.25" customHeight="1" spans="1:14">
      <c r="A586" s="168" t="s">
        <v>2136</v>
      </c>
      <c r="B586" s="169" t="s">
        <v>2137</v>
      </c>
      <c r="C586" s="170" t="s">
        <v>2070</v>
      </c>
      <c r="D586" s="169" t="s">
        <v>2071</v>
      </c>
      <c r="E586" s="169" t="s">
        <v>2140</v>
      </c>
      <c r="F586" s="180">
        <f t="shared" si="176"/>
        <v>14.908948</v>
      </c>
      <c r="G586" s="180">
        <v>14.908948</v>
      </c>
      <c r="H586" s="180"/>
      <c r="I586" s="180"/>
      <c r="J586" s="180"/>
      <c r="K586" s="180"/>
      <c r="L586" s="180"/>
      <c r="M586" s="180">
        <f t="shared" si="177"/>
        <v>14.908948</v>
      </c>
      <c r="N586" s="180"/>
    </row>
    <row r="587" s="1" customFormat="1" ht="26.25" customHeight="1" spans="1:14">
      <c r="A587" s="168" t="s">
        <v>2136</v>
      </c>
      <c r="B587" s="169" t="s">
        <v>2137</v>
      </c>
      <c r="C587" s="170" t="s">
        <v>1438</v>
      </c>
      <c r="D587" s="169" t="s">
        <v>1439</v>
      </c>
      <c r="E587" s="169" t="s">
        <v>2141</v>
      </c>
      <c r="F587" s="180">
        <f t="shared" si="176"/>
        <v>18.291468</v>
      </c>
      <c r="G587" s="180">
        <v>18.291468</v>
      </c>
      <c r="H587" s="180"/>
      <c r="I587" s="180"/>
      <c r="J587" s="180"/>
      <c r="K587" s="180"/>
      <c r="L587" s="180"/>
      <c r="M587" s="180">
        <f t="shared" si="177"/>
        <v>18.291468</v>
      </c>
      <c r="N587" s="180"/>
    </row>
    <row r="588" s="1" customFormat="1" ht="26.25" customHeight="1" spans="1:14">
      <c r="A588" s="168" t="s">
        <v>2136</v>
      </c>
      <c r="B588" s="169" t="s">
        <v>2137</v>
      </c>
      <c r="C588" s="170" t="s">
        <v>1631</v>
      </c>
      <c r="D588" s="169" t="s">
        <v>1439</v>
      </c>
      <c r="E588" s="169" t="s">
        <v>2142</v>
      </c>
      <c r="F588" s="180">
        <f t="shared" si="176"/>
        <v>0.66</v>
      </c>
      <c r="G588" s="180">
        <v>0.66</v>
      </c>
      <c r="H588" s="180"/>
      <c r="I588" s="180"/>
      <c r="J588" s="180"/>
      <c r="K588" s="180"/>
      <c r="L588" s="180"/>
      <c r="M588" s="180">
        <f t="shared" si="177"/>
        <v>0.66</v>
      </c>
      <c r="N588" s="180"/>
    </row>
    <row r="589" s="1" customFormat="1" ht="26.25" customHeight="1" spans="1:14">
      <c r="A589" s="168" t="s">
        <v>2136</v>
      </c>
      <c r="B589" s="169" t="s">
        <v>2137</v>
      </c>
      <c r="C589" s="170" t="s">
        <v>2070</v>
      </c>
      <c r="D589" s="169" t="s">
        <v>2071</v>
      </c>
      <c r="E589" s="169" t="s">
        <v>2139</v>
      </c>
      <c r="F589" s="180">
        <f t="shared" si="176"/>
        <v>3</v>
      </c>
      <c r="G589" s="180">
        <v>3</v>
      </c>
      <c r="H589" s="180"/>
      <c r="I589" s="180"/>
      <c r="J589" s="180"/>
      <c r="K589" s="180"/>
      <c r="L589" s="180"/>
      <c r="M589" s="180">
        <f t="shared" si="177"/>
        <v>3</v>
      </c>
      <c r="N589" s="180"/>
    </row>
    <row r="590" s="1" customFormat="1" ht="26.25" customHeight="1" spans="1:14">
      <c r="A590" s="168" t="s">
        <v>2136</v>
      </c>
      <c r="B590" s="169" t="s">
        <v>2137</v>
      </c>
      <c r="C590" s="170" t="s">
        <v>1438</v>
      </c>
      <c r="D590" s="169" t="s">
        <v>1439</v>
      </c>
      <c r="E590" s="169" t="s">
        <v>2143</v>
      </c>
      <c r="F590" s="180">
        <f t="shared" si="176"/>
        <v>43.926</v>
      </c>
      <c r="G590" s="180">
        <v>43.926</v>
      </c>
      <c r="H590" s="180"/>
      <c r="I590" s="180"/>
      <c r="J590" s="180"/>
      <c r="K590" s="180"/>
      <c r="L590" s="180"/>
      <c r="M590" s="180">
        <f t="shared" si="177"/>
        <v>43.926</v>
      </c>
      <c r="N590" s="180"/>
    </row>
    <row r="591" s="1" customFormat="1" ht="26.25" customHeight="1" spans="1:14">
      <c r="A591" s="168" t="s">
        <v>2136</v>
      </c>
      <c r="B591" s="169" t="s">
        <v>2137</v>
      </c>
      <c r="C591" s="170" t="s">
        <v>1438</v>
      </c>
      <c r="D591" s="169" t="s">
        <v>1439</v>
      </c>
      <c r="E591" s="169" t="s">
        <v>2144</v>
      </c>
      <c r="F591" s="180">
        <f t="shared" si="176"/>
        <v>48.777251</v>
      </c>
      <c r="G591" s="180">
        <v>48.777251</v>
      </c>
      <c r="H591" s="180"/>
      <c r="I591" s="180"/>
      <c r="J591" s="180"/>
      <c r="K591" s="180"/>
      <c r="L591" s="180"/>
      <c r="M591" s="180">
        <f t="shared" si="177"/>
        <v>48.777251</v>
      </c>
      <c r="N591" s="180"/>
    </row>
    <row r="592" s="1" customFormat="1" ht="26.25" customHeight="1" spans="1:14">
      <c r="A592" s="168" t="s">
        <v>2136</v>
      </c>
      <c r="B592" s="169" t="s">
        <v>2137</v>
      </c>
      <c r="C592" s="170" t="s">
        <v>1631</v>
      </c>
      <c r="D592" s="169" t="s">
        <v>1439</v>
      </c>
      <c r="E592" s="169" t="s">
        <v>2138</v>
      </c>
      <c r="F592" s="180">
        <f t="shared" si="176"/>
        <v>15.48446</v>
      </c>
      <c r="G592" s="180">
        <v>15.48446</v>
      </c>
      <c r="H592" s="180"/>
      <c r="I592" s="180"/>
      <c r="J592" s="180"/>
      <c r="K592" s="180"/>
      <c r="L592" s="180"/>
      <c r="M592" s="180">
        <f t="shared" si="177"/>
        <v>15.48446</v>
      </c>
      <c r="N592" s="180"/>
    </row>
    <row r="593" s="1" customFormat="1" ht="26.25" customHeight="1" spans="1:14">
      <c r="A593" s="168" t="s">
        <v>2136</v>
      </c>
      <c r="B593" s="169" t="s">
        <v>2137</v>
      </c>
      <c r="C593" s="170" t="s">
        <v>2082</v>
      </c>
      <c r="D593" s="169" t="s">
        <v>2083</v>
      </c>
      <c r="E593" s="169" t="s">
        <v>2141</v>
      </c>
      <c r="F593" s="180">
        <f t="shared" si="176"/>
        <v>0.644607</v>
      </c>
      <c r="G593" s="180">
        <v>0.644607</v>
      </c>
      <c r="H593" s="180"/>
      <c r="I593" s="180"/>
      <c r="J593" s="180"/>
      <c r="K593" s="180"/>
      <c r="L593" s="180"/>
      <c r="M593" s="180">
        <f t="shared" si="177"/>
        <v>0.644607</v>
      </c>
      <c r="N593" s="180"/>
    </row>
    <row r="594" s="1" customFormat="1" ht="26.25" customHeight="1" spans="1:14">
      <c r="A594" s="168" t="s">
        <v>2136</v>
      </c>
      <c r="B594" s="169" t="s">
        <v>2137</v>
      </c>
      <c r="C594" s="170" t="s">
        <v>2073</v>
      </c>
      <c r="D594" s="169" t="s">
        <v>2074</v>
      </c>
      <c r="E594" s="169" t="s">
        <v>2138</v>
      </c>
      <c r="F594" s="180">
        <f t="shared" si="176"/>
        <v>39.1883</v>
      </c>
      <c r="G594" s="180">
        <v>39.1883</v>
      </c>
      <c r="H594" s="180"/>
      <c r="I594" s="180"/>
      <c r="J594" s="180"/>
      <c r="K594" s="180"/>
      <c r="L594" s="180"/>
      <c r="M594" s="180">
        <f t="shared" si="177"/>
        <v>39.1883</v>
      </c>
      <c r="N594" s="180"/>
    </row>
    <row r="595" s="1" customFormat="1" ht="26.25" customHeight="1" spans="1:14">
      <c r="A595" s="168" t="s">
        <v>2136</v>
      </c>
      <c r="B595" s="169" t="s">
        <v>2137</v>
      </c>
      <c r="C595" s="170" t="s">
        <v>1438</v>
      </c>
      <c r="D595" s="169" t="s">
        <v>1439</v>
      </c>
      <c r="E595" s="169" t="s">
        <v>2139</v>
      </c>
      <c r="F595" s="180">
        <f t="shared" si="176"/>
        <v>30</v>
      </c>
      <c r="G595" s="180">
        <v>30</v>
      </c>
      <c r="H595" s="180"/>
      <c r="I595" s="180"/>
      <c r="J595" s="180"/>
      <c r="K595" s="180"/>
      <c r="L595" s="180"/>
      <c r="M595" s="180">
        <f t="shared" si="177"/>
        <v>30</v>
      </c>
      <c r="N595" s="180"/>
    </row>
    <row r="596" s="1" customFormat="1" ht="26.25" customHeight="1" spans="1:14">
      <c r="A596" s="168" t="s">
        <v>2136</v>
      </c>
      <c r="B596" s="169" t="s">
        <v>2137</v>
      </c>
      <c r="C596" s="170" t="s">
        <v>2118</v>
      </c>
      <c r="D596" s="169" t="s">
        <v>2071</v>
      </c>
      <c r="E596" s="169" t="s">
        <v>2141</v>
      </c>
      <c r="F596" s="180">
        <f t="shared" si="176"/>
        <v>1.192176</v>
      </c>
      <c r="G596" s="180">
        <v>1.192176</v>
      </c>
      <c r="H596" s="180"/>
      <c r="I596" s="180"/>
      <c r="J596" s="180"/>
      <c r="K596" s="180"/>
      <c r="L596" s="180"/>
      <c r="M596" s="180">
        <f t="shared" si="177"/>
        <v>1.192176</v>
      </c>
      <c r="N596" s="180"/>
    </row>
    <row r="597" s="1" customFormat="1" ht="26.25" customHeight="1" spans="1:14">
      <c r="A597" s="168" t="s">
        <v>2136</v>
      </c>
      <c r="B597" s="169" t="s">
        <v>2137</v>
      </c>
      <c r="C597" s="170" t="s">
        <v>2118</v>
      </c>
      <c r="D597" s="169" t="s">
        <v>2071</v>
      </c>
      <c r="E597" s="169" t="s">
        <v>2138</v>
      </c>
      <c r="F597" s="180">
        <f t="shared" si="176"/>
        <v>26.4928</v>
      </c>
      <c r="G597" s="180">
        <v>26.4928</v>
      </c>
      <c r="H597" s="180"/>
      <c r="I597" s="180"/>
      <c r="J597" s="180"/>
      <c r="K597" s="180"/>
      <c r="L597" s="180"/>
      <c r="M597" s="180">
        <f t="shared" si="177"/>
        <v>26.4928</v>
      </c>
      <c r="N597" s="180"/>
    </row>
    <row r="598" s="1" customFormat="1" ht="26.25" customHeight="1" spans="1:14">
      <c r="A598" s="168" t="s">
        <v>2136</v>
      </c>
      <c r="B598" s="169" t="s">
        <v>2137</v>
      </c>
      <c r="C598" s="170" t="s">
        <v>1631</v>
      </c>
      <c r="D598" s="169" t="s">
        <v>1439</v>
      </c>
      <c r="E598" s="169" t="s">
        <v>2144</v>
      </c>
      <c r="F598" s="180">
        <f t="shared" si="176"/>
        <v>1.937335</v>
      </c>
      <c r="G598" s="180">
        <v>1.937335</v>
      </c>
      <c r="H598" s="180"/>
      <c r="I598" s="180"/>
      <c r="J598" s="180"/>
      <c r="K598" s="180"/>
      <c r="L598" s="180"/>
      <c r="M598" s="180">
        <f t="shared" si="177"/>
        <v>1.937335</v>
      </c>
      <c r="N598" s="180"/>
    </row>
    <row r="599" s="1" customFormat="1" ht="26.25" customHeight="1" spans="1:14">
      <c r="A599" s="168" t="s">
        <v>2136</v>
      </c>
      <c r="B599" s="169" t="s">
        <v>2137</v>
      </c>
      <c r="C599" s="170" t="s">
        <v>1438</v>
      </c>
      <c r="D599" s="169" t="s">
        <v>1439</v>
      </c>
      <c r="E599" s="169" t="s">
        <v>2142</v>
      </c>
      <c r="F599" s="180">
        <f t="shared" si="176"/>
        <v>26.96</v>
      </c>
      <c r="G599" s="180">
        <v>26.96</v>
      </c>
      <c r="H599" s="180"/>
      <c r="I599" s="180"/>
      <c r="J599" s="180"/>
      <c r="K599" s="180"/>
      <c r="L599" s="180"/>
      <c r="M599" s="180">
        <f t="shared" si="177"/>
        <v>26.96</v>
      </c>
      <c r="N599" s="180"/>
    </row>
    <row r="600" s="1" customFormat="1" ht="26.25" customHeight="1" spans="1:14">
      <c r="A600" s="168" t="s">
        <v>2136</v>
      </c>
      <c r="B600" s="169" t="s">
        <v>2137</v>
      </c>
      <c r="C600" s="170" t="s">
        <v>2070</v>
      </c>
      <c r="D600" s="169" t="s">
        <v>2071</v>
      </c>
      <c r="E600" s="169" t="s">
        <v>2144</v>
      </c>
      <c r="F600" s="180">
        <f t="shared" si="176"/>
        <v>4.938888</v>
      </c>
      <c r="G600" s="180">
        <v>4.938888</v>
      </c>
      <c r="H600" s="180"/>
      <c r="I600" s="180"/>
      <c r="J600" s="180"/>
      <c r="K600" s="180"/>
      <c r="L600" s="180"/>
      <c r="M600" s="180">
        <f t="shared" si="177"/>
        <v>4.938888</v>
      </c>
      <c r="N600" s="180"/>
    </row>
    <row r="601" s="1" customFormat="1" ht="26.25" customHeight="1" spans="1:14">
      <c r="A601" s="168" t="s">
        <v>2136</v>
      </c>
      <c r="B601" s="169" t="s">
        <v>2137</v>
      </c>
      <c r="C601" s="170" t="s">
        <v>1631</v>
      </c>
      <c r="D601" s="169" t="s">
        <v>1439</v>
      </c>
      <c r="E601" s="169" t="s">
        <v>2140</v>
      </c>
      <c r="F601" s="180">
        <f t="shared" si="176"/>
        <v>5.210711</v>
      </c>
      <c r="G601" s="180">
        <v>5.210711</v>
      </c>
      <c r="H601" s="180"/>
      <c r="I601" s="180"/>
      <c r="J601" s="180"/>
      <c r="K601" s="180"/>
      <c r="L601" s="180"/>
      <c r="M601" s="180">
        <f t="shared" si="177"/>
        <v>5.210711</v>
      </c>
      <c r="N601" s="180"/>
    </row>
    <row r="602" s="1" customFormat="1" ht="26.25" customHeight="1" spans="1:14">
      <c r="A602" s="168" t="s">
        <v>2136</v>
      </c>
      <c r="B602" s="169" t="s">
        <v>2137</v>
      </c>
      <c r="C602" s="170" t="s">
        <v>2070</v>
      </c>
      <c r="D602" s="169" t="s">
        <v>2071</v>
      </c>
      <c r="E602" s="169" t="s">
        <v>2145</v>
      </c>
      <c r="F602" s="180">
        <f t="shared" si="176"/>
        <v>0.8112</v>
      </c>
      <c r="G602" s="180">
        <v>0.8112</v>
      </c>
      <c r="H602" s="180"/>
      <c r="I602" s="180"/>
      <c r="J602" s="180"/>
      <c r="K602" s="180"/>
      <c r="L602" s="180"/>
      <c r="M602" s="180">
        <f t="shared" si="177"/>
        <v>0.8112</v>
      </c>
      <c r="N602" s="180"/>
    </row>
    <row r="603" s="1" customFormat="1" ht="26.25" customHeight="1" spans="1:14">
      <c r="A603" s="168" t="s">
        <v>2136</v>
      </c>
      <c r="B603" s="169" t="s">
        <v>2137</v>
      </c>
      <c r="C603" s="170" t="s">
        <v>1438</v>
      </c>
      <c r="D603" s="169" t="s">
        <v>1439</v>
      </c>
      <c r="E603" s="169" t="s">
        <v>2140</v>
      </c>
      <c r="F603" s="180">
        <f t="shared" si="176"/>
        <v>128.984657</v>
      </c>
      <c r="G603" s="180">
        <v>128.984657</v>
      </c>
      <c r="H603" s="180"/>
      <c r="I603" s="180"/>
      <c r="J603" s="180"/>
      <c r="K603" s="180"/>
      <c r="L603" s="180"/>
      <c r="M603" s="180">
        <f t="shared" si="177"/>
        <v>128.984657</v>
      </c>
      <c r="N603" s="180"/>
    </row>
    <row r="604" s="1" customFormat="1" ht="26.25" customHeight="1" spans="1:14">
      <c r="A604" s="168" t="s">
        <v>2136</v>
      </c>
      <c r="B604" s="169" t="s">
        <v>2137</v>
      </c>
      <c r="C604" s="170" t="s">
        <v>1438</v>
      </c>
      <c r="D604" s="169" t="s">
        <v>1439</v>
      </c>
      <c r="E604" s="169" t="s">
        <v>2138</v>
      </c>
      <c r="F604" s="180">
        <f t="shared" si="176"/>
        <v>387.517092</v>
      </c>
      <c r="G604" s="180">
        <v>387.517092</v>
      </c>
      <c r="H604" s="180"/>
      <c r="I604" s="180"/>
      <c r="J604" s="180">
        <v>30</v>
      </c>
      <c r="K604" s="180"/>
      <c r="L604" s="180"/>
      <c r="M604" s="180">
        <f t="shared" si="177"/>
        <v>417.517092</v>
      </c>
      <c r="N604" s="180"/>
    </row>
    <row r="605" s="1" customFormat="1" ht="26.25" customHeight="1" spans="1:14">
      <c r="A605" s="168" t="s">
        <v>2136</v>
      </c>
      <c r="B605" s="169" t="s">
        <v>2137</v>
      </c>
      <c r="C605" s="170" t="s">
        <v>2070</v>
      </c>
      <c r="D605" s="169" t="s">
        <v>2071</v>
      </c>
      <c r="E605" s="169" t="s">
        <v>2141</v>
      </c>
      <c r="F605" s="180">
        <f t="shared" si="176"/>
        <v>1.852083</v>
      </c>
      <c r="G605" s="180">
        <v>1.852083</v>
      </c>
      <c r="H605" s="180"/>
      <c r="I605" s="180"/>
      <c r="J605" s="180"/>
      <c r="K605" s="180"/>
      <c r="L605" s="180"/>
      <c r="M605" s="180">
        <f t="shared" si="177"/>
        <v>1.852083</v>
      </c>
      <c r="N605" s="180"/>
    </row>
    <row r="606" s="1" customFormat="1" ht="26.25" customHeight="1" spans="1:14">
      <c r="A606" s="168" t="s">
        <v>2136</v>
      </c>
      <c r="B606" s="169" t="s">
        <v>2137</v>
      </c>
      <c r="C606" s="170" t="s">
        <v>1438</v>
      </c>
      <c r="D606" s="169" t="s">
        <v>1439</v>
      </c>
      <c r="E606" s="169" t="s">
        <v>2145</v>
      </c>
      <c r="F606" s="180">
        <f t="shared" si="176"/>
        <v>12.28644</v>
      </c>
      <c r="G606" s="180">
        <v>12.28644</v>
      </c>
      <c r="H606" s="180"/>
      <c r="I606" s="180"/>
      <c r="J606" s="180"/>
      <c r="K606" s="180"/>
      <c r="L606" s="180"/>
      <c r="M606" s="180">
        <f t="shared" si="177"/>
        <v>12.28644</v>
      </c>
      <c r="N606" s="180"/>
    </row>
    <row r="607" s="1" customFormat="1" ht="26.25" customHeight="1" spans="1:14">
      <c r="A607" s="168" t="s">
        <v>2136</v>
      </c>
      <c r="B607" s="169" t="s">
        <v>2137</v>
      </c>
      <c r="C607" s="170" t="s">
        <v>2082</v>
      </c>
      <c r="D607" s="169" t="s">
        <v>2083</v>
      </c>
      <c r="E607" s="169" t="s">
        <v>2139</v>
      </c>
      <c r="F607" s="180">
        <f t="shared" si="176"/>
        <v>1</v>
      </c>
      <c r="G607" s="180">
        <v>1</v>
      </c>
      <c r="H607" s="180"/>
      <c r="I607" s="180"/>
      <c r="J607" s="180"/>
      <c r="K607" s="180"/>
      <c r="L607" s="180"/>
      <c r="M607" s="180">
        <f t="shared" si="177"/>
        <v>1</v>
      </c>
      <c r="N607" s="180"/>
    </row>
    <row r="608" s="1" customFormat="1" ht="26.25" customHeight="1" spans="1:14">
      <c r="A608" s="168" t="s">
        <v>2136</v>
      </c>
      <c r="B608" s="169" t="s">
        <v>2137</v>
      </c>
      <c r="C608" s="170" t="s">
        <v>2082</v>
      </c>
      <c r="D608" s="169" t="s">
        <v>2083</v>
      </c>
      <c r="E608" s="169" t="s">
        <v>2144</v>
      </c>
      <c r="F608" s="180">
        <f t="shared" si="176"/>
        <v>1.718952</v>
      </c>
      <c r="G608" s="180">
        <v>1.718952</v>
      </c>
      <c r="H608" s="180"/>
      <c r="I608" s="180"/>
      <c r="J608" s="180"/>
      <c r="K608" s="180"/>
      <c r="L608" s="180"/>
      <c r="M608" s="180">
        <f t="shared" si="177"/>
        <v>1.718952</v>
      </c>
      <c r="N608" s="180"/>
    </row>
    <row r="609" s="1" customFormat="1" ht="26.25" customHeight="1" spans="1:14">
      <c r="A609" s="168" t="s">
        <v>2136</v>
      </c>
      <c r="B609" s="169" t="s">
        <v>2137</v>
      </c>
      <c r="C609" s="170" t="s">
        <v>2082</v>
      </c>
      <c r="D609" s="169" t="s">
        <v>2083</v>
      </c>
      <c r="E609" s="169" t="s">
        <v>2140</v>
      </c>
      <c r="F609" s="180">
        <f t="shared" si="176"/>
        <v>5.192438</v>
      </c>
      <c r="G609" s="180">
        <v>5.192438</v>
      </c>
      <c r="H609" s="180"/>
      <c r="I609" s="180"/>
      <c r="J609" s="180"/>
      <c r="K609" s="180"/>
      <c r="L609" s="180"/>
      <c r="M609" s="180">
        <f t="shared" si="177"/>
        <v>5.192438</v>
      </c>
      <c r="N609" s="180"/>
    </row>
    <row r="610" s="1" customFormat="1" ht="26.25" customHeight="1" spans="1:14">
      <c r="A610" s="168" t="s">
        <v>2136</v>
      </c>
      <c r="B610" s="169" t="s">
        <v>2137</v>
      </c>
      <c r="C610" s="170" t="s">
        <v>1438</v>
      </c>
      <c r="D610" s="169" t="s">
        <v>1439</v>
      </c>
      <c r="E610" s="169" t="s">
        <v>2146</v>
      </c>
      <c r="F610" s="180">
        <f t="shared" si="176"/>
        <v>2.03</v>
      </c>
      <c r="G610" s="180">
        <v>2.03</v>
      </c>
      <c r="H610" s="180"/>
      <c r="I610" s="180"/>
      <c r="J610" s="180"/>
      <c r="K610" s="180"/>
      <c r="L610" s="180"/>
      <c r="M610" s="180">
        <f t="shared" si="177"/>
        <v>2.03</v>
      </c>
      <c r="N610" s="180"/>
    </row>
    <row r="611" s="1" customFormat="1" ht="26.25" customHeight="1" spans="1:14">
      <c r="A611" s="168" t="s">
        <v>2136</v>
      </c>
      <c r="B611" s="169" t="s">
        <v>2137</v>
      </c>
      <c r="C611" s="170" t="s">
        <v>2082</v>
      </c>
      <c r="D611" s="169" t="s">
        <v>2083</v>
      </c>
      <c r="E611" s="169" t="s">
        <v>2138</v>
      </c>
      <c r="F611" s="180">
        <f t="shared" si="176"/>
        <v>14.3246</v>
      </c>
      <c r="G611" s="180">
        <v>14.3246</v>
      </c>
      <c r="H611" s="180"/>
      <c r="I611" s="180"/>
      <c r="J611" s="180"/>
      <c r="K611" s="180"/>
      <c r="L611" s="180"/>
      <c r="M611" s="180">
        <f t="shared" si="177"/>
        <v>14.3246</v>
      </c>
      <c r="N611" s="180"/>
    </row>
    <row r="612" s="1" customFormat="1" ht="26.25" customHeight="1" spans="1:14">
      <c r="A612" s="168" t="s">
        <v>2136</v>
      </c>
      <c r="B612" s="169" t="s">
        <v>2137</v>
      </c>
      <c r="C612" s="170" t="s">
        <v>2073</v>
      </c>
      <c r="D612" s="169" t="s">
        <v>2074</v>
      </c>
      <c r="E612" s="169" t="s">
        <v>2141</v>
      </c>
      <c r="F612" s="180">
        <f t="shared" si="176"/>
        <v>1.763474</v>
      </c>
      <c r="G612" s="180">
        <v>1.763474</v>
      </c>
      <c r="H612" s="180"/>
      <c r="I612" s="180"/>
      <c r="J612" s="180"/>
      <c r="K612" s="180"/>
      <c r="L612" s="180"/>
      <c r="M612" s="180">
        <f t="shared" si="177"/>
        <v>1.763474</v>
      </c>
      <c r="N612" s="180"/>
    </row>
    <row r="613" s="1" customFormat="1" ht="26.25" customHeight="1" spans="1:14">
      <c r="A613" s="168" t="s">
        <v>2136</v>
      </c>
      <c r="B613" s="169" t="s">
        <v>2137</v>
      </c>
      <c r="C613" s="170" t="s">
        <v>2073</v>
      </c>
      <c r="D613" s="169" t="s">
        <v>2074</v>
      </c>
      <c r="E613" s="169" t="s">
        <v>2139</v>
      </c>
      <c r="F613" s="180">
        <f t="shared" si="176"/>
        <v>3</v>
      </c>
      <c r="G613" s="180">
        <v>3</v>
      </c>
      <c r="H613" s="180"/>
      <c r="I613" s="180"/>
      <c r="J613" s="180"/>
      <c r="K613" s="180"/>
      <c r="L613" s="180"/>
      <c r="M613" s="180">
        <f t="shared" si="177"/>
        <v>3</v>
      </c>
      <c r="N613" s="180"/>
    </row>
    <row r="614" s="1" customFormat="1" ht="26.25" customHeight="1" spans="1:14">
      <c r="A614" s="168" t="s">
        <v>2136</v>
      </c>
      <c r="B614" s="169" t="s">
        <v>2137</v>
      </c>
      <c r="C614" s="170" t="s">
        <v>2073</v>
      </c>
      <c r="D614" s="169" t="s">
        <v>2074</v>
      </c>
      <c r="E614" s="169" t="s">
        <v>2144</v>
      </c>
      <c r="F614" s="180">
        <f t="shared" si="176"/>
        <v>4.702596</v>
      </c>
      <c r="G614" s="180">
        <v>4.702596</v>
      </c>
      <c r="H614" s="180"/>
      <c r="I614" s="180"/>
      <c r="J614" s="180"/>
      <c r="K614" s="180"/>
      <c r="L614" s="180"/>
      <c r="M614" s="180">
        <f t="shared" si="177"/>
        <v>4.702596</v>
      </c>
      <c r="N614" s="180"/>
    </row>
    <row r="615" s="1" customFormat="1" ht="26.25" customHeight="1" spans="1:14">
      <c r="A615" s="168" t="s">
        <v>2136</v>
      </c>
      <c r="B615" s="169" t="s">
        <v>2137</v>
      </c>
      <c r="C615" s="170" t="s">
        <v>2073</v>
      </c>
      <c r="D615" s="169" t="s">
        <v>2074</v>
      </c>
      <c r="E615" s="169" t="s">
        <v>2140</v>
      </c>
      <c r="F615" s="180">
        <f t="shared" si="176"/>
        <v>14.197989</v>
      </c>
      <c r="G615" s="180">
        <v>14.197989</v>
      </c>
      <c r="H615" s="180"/>
      <c r="I615" s="180"/>
      <c r="J615" s="180"/>
      <c r="K615" s="180"/>
      <c r="L615" s="180"/>
      <c r="M615" s="180">
        <f t="shared" si="177"/>
        <v>14.197989</v>
      </c>
      <c r="N615" s="180"/>
    </row>
    <row r="616" s="1" customFormat="1" ht="26.25" customHeight="1" spans="1:14">
      <c r="A616" s="168" t="s">
        <v>2136</v>
      </c>
      <c r="B616" s="169" t="s">
        <v>2137</v>
      </c>
      <c r="C616" s="170" t="s">
        <v>2118</v>
      </c>
      <c r="D616" s="169" t="s">
        <v>2071</v>
      </c>
      <c r="E616" s="169" t="s">
        <v>2144</v>
      </c>
      <c r="F616" s="180">
        <f t="shared" si="176"/>
        <v>3.179136</v>
      </c>
      <c r="G616" s="180">
        <v>3.179136</v>
      </c>
      <c r="H616" s="180"/>
      <c r="I616" s="180"/>
      <c r="J616" s="180"/>
      <c r="K616" s="180"/>
      <c r="L616" s="180"/>
      <c r="M616" s="180">
        <f t="shared" si="177"/>
        <v>3.179136</v>
      </c>
      <c r="N616" s="180"/>
    </row>
    <row r="617" s="1" customFormat="1" ht="26.25" customHeight="1" spans="1:14">
      <c r="A617" s="168" t="s">
        <v>2136</v>
      </c>
      <c r="B617" s="169" t="s">
        <v>2137</v>
      </c>
      <c r="C617" s="170" t="s">
        <v>1631</v>
      </c>
      <c r="D617" s="169" t="s">
        <v>1439</v>
      </c>
      <c r="E617" s="169" t="s">
        <v>2139</v>
      </c>
      <c r="F617" s="180">
        <f t="shared" si="176"/>
        <v>1</v>
      </c>
      <c r="G617" s="180">
        <v>1</v>
      </c>
      <c r="H617" s="180"/>
      <c r="I617" s="180"/>
      <c r="J617" s="180"/>
      <c r="K617" s="180"/>
      <c r="L617" s="180"/>
      <c r="M617" s="180">
        <f t="shared" si="177"/>
        <v>1</v>
      </c>
      <c r="N617" s="180"/>
    </row>
    <row r="618" s="1" customFormat="1" ht="26.25" customHeight="1" spans="1:14">
      <c r="A618" s="168" t="s">
        <v>2136</v>
      </c>
      <c r="B618" s="169" t="s">
        <v>2137</v>
      </c>
      <c r="C618" s="170" t="s">
        <v>1631</v>
      </c>
      <c r="D618" s="169" t="s">
        <v>1439</v>
      </c>
      <c r="E618" s="169" t="s">
        <v>2141</v>
      </c>
      <c r="F618" s="180">
        <f t="shared" si="176"/>
        <v>0.726501</v>
      </c>
      <c r="G618" s="180">
        <v>0.726501</v>
      </c>
      <c r="H618" s="180"/>
      <c r="I618" s="180"/>
      <c r="J618" s="180"/>
      <c r="K618" s="180"/>
      <c r="L618" s="180"/>
      <c r="M618" s="180">
        <f t="shared" si="177"/>
        <v>0.726501</v>
      </c>
      <c r="N618" s="180"/>
    </row>
    <row r="619" s="1" customFormat="1" ht="26.25" customHeight="1" spans="1:14">
      <c r="A619" s="168" t="s">
        <v>2136</v>
      </c>
      <c r="B619" s="169" t="s">
        <v>2137</v>
      </c>
      <c r="C619" s="170" t="s">
        <v>2118</v>
      </c>
      <c r="D619" s="169" t="s">
        <v>2071</v>
      </c>
      <c r="E619" s="169" t="s">
        <v>2140</v>
      </c>
      <c r="F619" s="180">
        <f t="shared" si="176"/>
        <v>9.581418</v>
      </c>
      <c r="G619" s="180">
        <v>9.581418</v>
      </c>
      <c r="H619" s="180"/>
      <c r="I619" s="180"/>
      <c r="J619" s="180"/>
      <c r="K619" s="180"/>
      <c r="L619" s="180"/>
      <c r="M619" s="180">
        <f t="shared" si="177"/>
        <v>9.581418</v>
      </c>
      <c r="N619" s="180"/>
    </row>
    <row r="620" s="1" customFormat="1" ht="26.25" customHeight="1" spans="1:14">
      <c r="A620" s="189" t="s">
        <v>2147</v>
      </c>
      <c r="B620" s="190" t="s">
        <v>1394</v>
      </c>
      <c r="C620" s="191"/>
      <c r="D620" s="192"/>
      <c r="E620" s="192"/>
      <c r="F620" s="167">
        <f t="shared" ref="F620:M620" si="178">SUM(F621:F628)</f>
        <v>298.669443</v>
      </c>
      <c r="G620" s="167">
        <f t="shared" si="178"/>
        <v>298.669443</v>
      </c>
      <c r="H620" s="167">
        <f t="shared" si="178"/>
        <v>0</v>
      </c>
      <c r="I620" s="167">
        <f t="shared" si="178"/>
        <v>0</v>
      </c>
      <c r="J620" s="167">
        <f t="shared" si="178"/>
        <v>30</v>
      </c>
      <c r="K620" s="167">
        <f t="shared" si="178"/>
        <v>0</v>
      </c>
      <c r="L620" s="167">
        <f t="shared" si="178"/>
        <v>0</v>
      </c>
      <c r="M620" s="167">
        <f t="shared" si="178"/>
        <v>328.669443</v>
      </c>
      <c r="N620" s="167"/>
    </row>
    <row r="621" s="1" customFormat="1" ht="26.25" customHeight="1" spans="1:14">
      <c r="A621" s="168" t="s">
        <v>2148</v>
      </c>
      <c r="B621" s="169" t="s">
        <v>2149</v>
      </c>
      <c r="C621" s="170" t="s">
        <v>2087</v>
      </c>
      <c r="D621" s="169" t="s">
        <v>2071</v>
      </c>
      <c r="E621" s="169" t="s">
        <v>2150</v>
      </c>
      <c r="F621" s="180">
        <f t="shared" ref="F621:F628" si="179">SUM(G621:H621)</f>
        <v>20.360102</v>
      </c>
      <c r="G621" s="180">
        <v>20.360102</v>
      </c>
      <c r="H621" s="180"/>
      <c r="I621" s="180"/>
      <c r="J621" s="180"/>
      <c r="K621" s="180"/>
      <c r="L621" s="180"/>
      <c r="M621" s="180">
        <f t="shared" ref="M621:M628" si="180">F621+I621+J621+K621-L621</f>
        <v>20.360102</v>
      </c>
      <c r="N621" s="180"/>
    </row>
    <row r="622" s="1" customFormat="1" ht="26.25" customHeight="1" spans="1:14">
      <c r="A622" s="168" t="s">
        <v>2148</v>
      </c>
      <c r="B622" s="169" t="s">
        <v>2149</v>
      </c>
      <c r="C622" s="170" t="s">
        <v>2087</v>
      </c>
      <c r="D622" s="169" t="s">
        <v>2071</v>
      </c>
      <c r="E622" s="169" t="s">
        <v>2151</v>
      </c>
      <c r="F622" s="180">
        <f t="shared" si="179"/>
        <v>0.6</v>
      </c>
      <c r="G622" s="180">
        <v>0.6</v>
      </c>
      <c r="H622" s="180"/>
      <c r="I622" s="180"/>
      <c r="J622" s="180"/>
      <c r="K622" s="180"/>
      <c r="L622" s="180"/>
      <c r="M622" s="180">
        <f t="shared" si="180"/>
        <v>0.6</v>
      </c>
      <c r="N622" s="180"/>
    </row>
    <row r="623" s="1" customFormat="1" ht="26.25" customHeight="1" spans="1:14">
      <c r="A623" s="168" t="s">
        <v>2148</v>
      </c>
      <c r="B623" s="169" t="s">
        <v>2149</v>
      </c>
      <c r="C623" s="170" t="s">
        <v>2087</v>
      </c>
      <c r="D623" s="169" t="s">
        <v>2071</v>
      </c>
      <c r="E623" s="169" t="s">
        <v>2152</v>
      </c>
      <c r="F623" s="180">
        <f t="shared" si="179"/>
        <v>4.739461</v>
      </c>
      <c r="G623" s="180">
        <v>4.739461</v>
      </c>
      <c r="H623" s="180"/>
      <c r="I623" s="180"/>
      <c r="J623" s="180"/>
      <c r="K623" s="180"/>
      <c r="L623" s="180"/>
      <c r="M623" s="180">
        <f t="shared" si="180"/>
        <v>4.739461</v>
      </c>
      <c r="N623" s="180"/>
    </row>
    <row r="624" s="1" customFormat="1" ht="26.25" customHeight="1" spans="1:14">
      <c r="A624" s="168" t="s">
        <v>2148</v>
      </c>
      <c r="B624" s="169" t="s">
        <v>2149</v>
      </c>
      <c r="C624" s="170" t="s">
        <v>2087</v>
      </c>
      <c r="D624" s="169" t="s">
        <v>2071</v>
      </c>
      <c r="E624" s="169" t="s">
        <v>2153</v>
      </c>
      <c r="F624" s="180">
        <f t="shared" si="179"/>
        <v>13</v>
      </c>
      <c r="G624" s="180">
        <v>13</v>
      </c>
      <c r="H624" s="180"/>
      <c r="I624" s="180"/>
      <c r="J624" s="180"/>
      <c r="K624" s="180"/>
      <c r="L624" s="180"/>
      <c r="M624" s="180">
        <f t="shared" si="180"/>
        <v>13</v>
      </c>
      <c r="N624" s="180"/>
    </row>
    <row r="625" s="1" customFormat="1" ht="26.25" customHeight="1" spans="1:14">
      <c r="A625" s="168" t="s">
        <v>2148</v>
      </c>
      <c r="B625" s="169" t="s">
        <v>2149</v>
      </c>
      <c r="C625" s="170" t="s">
        <v>2087</v>
      </c>
      <c r="D625" s="169" t="s">
        <v>2071</v>
      </c>
      <c r="E625" s="169" t="s">
        <v>2154</v>
      </c>
      <c r="F625" s="180">
        <f t="shared" si="179"/>
        <v>169.66752</v>
      </c>
      <c r="G625" s="180">
        <v>169.66752</v>
      </c>
      <c r="H625" s="180"/>
      <c r="I625" s="180"/>
      <c r="J625" s="180">
        <v>30</v>
      </c>
      <c r="K625" s="180"/>
      <c r="L625" s="180"/>
      <c r="M625" s="180">
        <f t="shared" si="180"/>
        <v>199.66752</v>
      </c>
      <c r="N625" s="180"/>
    </row>
    <row r="626" s="1" customFormat="1" ht="26.25" customHeight="1" spans="1:14">
      <c r="A626" s="168" t="s">
        <v>2148</v>
      </c>
      <c r="B626" s="169" t="s">
        <v>2149</v>
      </c>
      <c r="C626" s="170" t="s">
        <v>2087</v>
      </c>
      <c r="D626" s="169" t="s">
        <v>2071</v>
      </c>
      <c r="E626" s="169" t="s">
        <v>2155</v>
      </c>
      <c r="F626" s="180">
        <f t="shared" si="179"/>
        <v>21.1656</v>
      </c>
      <c r="G626" s="180">
        <v>21.1656</v>
      </c>
      <c r="H626" s="180"/>
      <c r="I626" s="180"/>
      <c r="J626" s="180"/>
      <c r="K626" s="180"/>
      <c r="L626" s="180"/>
      <c r="M626" s="180">
        <f t="shared" si="180"/>
        <v>21.1656</v>
      </c>
      <c r="N626" s="180"/>
    </row>
    <row r="627" s="1" customFormat="1" ht="26.25" customHeight="1" spans="1:14">
      <c r="A627" s="168" t="s">
        <v>2148</v>
      </c>
      <c r="B627" s="169" t="s">
        <v>2149</v>
      </c>
      <c r="C627" s="170" t="s">
        <v>2087</v>
      </c>
      <c r="D627" s="169" t="s">
        <v>2071</v>
      </c>
      <c r="E627" s="169" t="s">
        <v>2156</v>
      </c>
      <c r="F627" s="180">
        <f t="shared" si="179"/>
        <v>7.635038</v>
      </c>
      <c r="G627" s="180">
        <v>7.635038</v>
      </c>
      <c r="H627" s="180"/>
      <c r="I627" s="180"/>
      <c r="J627" s="180"/>
      <c r="K627" s="180"/>
      <c r="L627" s="180"/>
      <c r="M627" s="180">
        <f t="shared" si="180"/>
        <v>7.635038</v>
      </c>
      <c r="N627" s="180"/>
    </row>
    <row r="628" s="1" customFormat="1" ht="26.25" customHeight="1" spans="1:14">
      <c r="A628" s="168" t="s">
        <v>2148</v>
      </c>
      <c r="B628" s="169" t="s">
        <v>2149</v>
      </c>
      <c r="C628" s="170" t="s">
        <v>2087</v>
      </c>
      <c r="D628" s="169" t="s">
        <v>2071</v>
      </c>
      <c r="E628" s="169" t="s">
        <v>2157</v>
      </c>
      <c r="F628" s="180">
        <f t="shared" si="179"/>
        <v>61.501722</v>
      </c>
      <c r="G628" s="180">
        <v>61.501722</v>
      </c>
      <c r="H628" s="180"/>
      <c r="I628" s="180"/>
      <c r="J628" s="180"/>
      <c r="K628" s="180"/>
      <c r="L628" s="180"/>
      <c r="M628" s="180">
        <f t="shared" si="180"/>
        <v>61.501722</v>
      </c>
      <c r="N628" s="180"/>
    </row>
    <row r="629" s="1" customFormat="1" ht="26.25" customHeight="1" spans="1:14">
      <c r="A629" s="189" t="s">
        <v>2158</v>
      </c>
      <c r="B629" s="190" t="s">
        <v>1396</v>
      </c>
      <c r="C629" s="191"/>
      <c r="D629" s="192"/>
      <c r="E629" s="192"/>
      <c r="F629" s="167">
        <f t="shared" ref="F629:M629" si="181">SUM(F630:F635)</f>
        <v>525.261582</v>
      </c>
      <c r="G629" s="167">
        <f t="shared" si="181"/>
        <v>525.261582</v>
      </c>
      <c r="H629" s="167">
        <f t="shared" si="181"/>
        <v>0</v>
      </c>
      <c r="I629" s="167">
        <f t="shared" si="181"/>
        <v>0</v>
      </c>
      <c r="J629" s="167">
        <f t="shared" si="181"/>
        <v>143</v>
      </c>
      <c r="K629" s="167">
        <f t="shared" si="181"/>
        <v>0</v>
      </c>
      <c r="L629" s="167">
        <f t="shared" si="181"/>
        <v>0</v>
      </c>
      <c r="M629" s="167">
        <f t="shared" si="181"/>
        <v>668.261582</v>
      </c>
      <c r="N629" s="167"/>
    </row>
    <row r="630" s="1" customFormat="1" ht="26.25" customHeight="1" spans="1:14">
      <c r="A630" s="168" t="s">
        <v>2159</v>
      </c>
      <c r="B630" s="169" t="s">
        <v>2160</v>
      </c>
      <c r="C630" s="170" t="s">
        <v>1438</v>
      </c>
      <c r="D630" s="169" t="s">
        <v>1439</v>
      </c>
      <c r="E630" s="169" t="s">
        <v>2161</v>
      </c>
      <c r="F630" s="180">
        <f t="shared" ref="F630:F635" si="182">SUM(G630:H630)</f>
        <v>26</v>
      </c>
      <c r="G630" s="180">
        <v>26</v>
      </c>
      <c r="H630" s="180"/>
      <c r="I630" s="180"/>
      <c r="J630" s="180"/>
      <c r="K630" s="180"/>
      <c r="L630" s="180"/>
      <c r="M630" s="180">
        <f t="shared" ref="M630:M635" si="183">F630+I630+J630+K630-L630</f>
        <v>26</v>
      </c>
      <c r="N630" s="180"/>
    </row>
    <row r="631" s="1" customFormat="1" ht="26.25" customHeight="1" spans="1:14">
      <c r="A631" s="168" t="s">
        <v>2159</v>
      </c>
      <c r="B631" s="169" t="s">
        <v>2160</v>
      </c>
      <c r="C631" s="170" t="s">
        <v>1438</v>
      </c>
      <c r="D631" s="169" t="s">
        <v>1439</v>
      </c>
      <c r="E631" s="169" t="s">
        <v>2162</v>
      </c>
      <c r="F631" s="180">
        <f t="shared" si="182"/>
        <v>34.74588</v>
      </c>
      <c r="G631" s="180">
        <v>34.74588</v>
      </c>
      <c r="H631" s="180"/>
      <c r="I631" s="180"/>
      <c r="J631" s="180"/>
      <c r="K631" s="180"/>
      <c r="L631" s="180"/>
      <c r="M631" s="180">
        <f t="shared" si="183"/>
        <v>34.74588</v>
      </c>
      <c r="N631" s="180"/>
    </row>
    <row r="632" s="1" customFormat="1" ht="26.25" customHeight="1" spans="1:14">
      <c r="A632" s="168" t="s">
        <v>2159</v>
      </c>
      <c r="B632" s="169" t="s">
        <v>2160</v>
      </c>
      <c r="C632" s="170" t="s">
        <v>1438</v>
      </c>
      <c r="D632" s="169" t="s">
        <v>1439</v>
      </c>
      <c r="E632" s="169" t="s">
        <v>2163</v>
      </c>
      <c r="F632" s="180">
        <f t="shared" si="182"/>
        <v>97.936997</v>
      </c>
      <c r="G632" s="180">
        <v>97.936997</v>
      </c>
      <c r="H632" s="180"/>
      <c r="I632" s="180"/>
      <c r="J632" s="180"/>
      <c r="K632" s="180"/>
      <c r="L632" s="180"/>
      <c r="M632" s="180">
        <f t="shared" si="183"/>
        <v>97.936997</v>
      </c>
      <c r="N632" s="180"/>
    </row>
    <row r="633" s="1" customFormat="1" ht="26.25" customHeight="1" spans="1:14">
      <c r="A633" s="168" t="s">
        <v>2159</v>
      </c>
      <c r="B633" s="169" t="s">
        <v>2160</v>
      </c>
      <c r="C633" s="170" t="s">
        <v>1438</v>
      </c>
      <c r="D633" s="169" t="s">
        <v>1439</v>
      </c>
      <c r="E633" s="169" t="s">
        <v>2164</v>
      </c>
      <c r="F633" s="180">
        <f t="shared" si="182"/>
        <v>339.769</v>
      </c>
      <c r="G633" s="180">
        <v>339.769</v>
      </c>
      <c r="H633" s="180"/>
      <c r="I633" s="180"/>
      <c r="J633" s="180">
        <v>140</v>
      </c>
      <c r="K633" s="180"/>
      <c r="L633" s="180"/>
      <c r="M633" s="180">
        <f t="shared" si="183"/>
        <v>479.769</v>
      </c>
      <c r="N633" s="180"/>
    </row>
    <row r="634" s="1" customFormat="1" ht="26.25" customHeight="1" spans="1:14">
      <c r="A634" s="168" t="s">
        <v>2159</v>
      </c>
      <c r="B634" s="169" t="s">
        <v>2160</v>
      </c>
      <c r="C634" s="170" t="s">
        <v>1438</v>
      </c>
      <c r="D634" s="169" t="s">
        <v>1439</v>
      </c>
      <c r="E634" s="169" t="s">
        <v>2165</v>
      </c>
      <c r="F634" s="180">
        <f t="shared" si="182"/>
        <v>13.78</v>
      </c>
      <c r="G634" s="180">
        <v>13.78</v>
      </c>
      <c r="H634" s="180"/>
      <c r="I634" s="180"/>
      <c r="J634" s="180">
        <v>3</v>
      </c>
      <c r="K634" s="180"/>
      <c r="L634" s="180"/>
      <c r="M634" s="180">
        <f t="shared" si="183"/>
        <v>16.78</v>
      </c>
      <c r="N634" s="180"/>
    </row>
    <row r="635" s="1" customFormat="1" ht="26.25" customHeight="1" spans="1:14">
      <c r="A635" s="168" t="s">
        <v>2159</v>
      </c>
      <c r="B635" s="169" t="s">
        <v>2160</v>
      </c>
      <c r="C635" s="170" t="s">
        <v>1438</v>
      </c>
      <c r="D635" s="169" t="s">
        <v>1439</v>
      </c>
      <c r="E635" s="169" t="s">
        <v>2166</v>
      </c>
      <c r="F635" s="180">
        <f t="shared" si="182"/>
        <v>13.029705</v>
      </c>
      <c r="G635" s="180">
        <v>13.029705</v>
      </c>
      <c r="H635" s="180"/>
      <c r="I635" s="180"/>
      <c r="J635" s="180"/>
      <c r="K635" s="180"/>
      <c r="L635" s="180"/>
      <c r="M635" s="180">
        <f t="shared" si="183"/>
        <v>13.029705</v>
      </c>
      <c r="N635" s="180"/>
    </row>
  </sheetData>
  <sheetProtection formatCells="0" formatColumns="0" formatRows="0" insertRows="0" insertColumns="0" insertHyperlinks="0" deleteColumns="0" deleteRows="0" sort="0" autoFilter="0" pivotTables="0"/>
  <autoFilter ref="A1:N635">
    <extLst/>
  </autoFilter>
  <mergeCells count="13">
    <mergeCell ref="A1:N1"/>
    <mergeCell ref="F3:H3"/>
    <mergeCell ref="A3:A4"/>
    <mergeCell ref="B3:B4"/>
    <mergeCell ref="C3:C4"/>
    <mergeCell ref="D3:D4"/>
    <mergeCell ref="E3:E4"/>
    <mergeCell ref="I3:I4"/>
    <mergeCell ref="J3:J4"/>
    <mergeCell ref="K3:K4"/>
    <mergeCell ref="L3:L4"/>
    <mergeCell ref="M3:M4"/>
    <mergeCell ref="N3:N4"/>
  </mergeCells>
  <printOptions horizontalCentered="1"/>
  <pageMargins left="0.393055555555556" right="0.393055555555556" top="0.590277777777778" bottom="0.393055555555556" header="0.393055555555556" footer="0.393055555555556"/>
  <pageSetup paperSize="9" scale="89" fitToHeight="0" orientation="landscape" horizontalDpi="300" verticalDpi="300"/>
  <headerFooter alignWithMargins="0" scaleWithDoc="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88"/>
  <sheetViews>
    <sheetView showZeros="0" workbookViewId="0">
      <selection activeCell="O2" sqref="O$1:W$1048576"/>
    </sheetView>
  </sheetViews>
  <sheetFormatPr defaultColWidth="8" defaultRowHeight="15"/>
  <cols>
    <col min="1" max="1" width="11.375" style="1" customWidth="1"/>
    <col min="2" max="2" width="20.625" style="4" customWidth="1"/>
    <col min="3" max="3" width="6.625" style="1" customWidth="1"/>
    <col min="4" max="4" width="10.625" style="4" customWidth="1"/>
    <col min="5" max="5" width="20.625" style="4" customWidth="1"/>
    <col min="6" max="8" width="9.625" style="1" customWidth="1"/>
    <col min="9" max="10" width="9.625" style="153" customWidth="1"/>
    <col min="11" max="11" width="9.625" style="1" customWidth="1"/>
    <col min="12" max="12" width="9.625" style="153" customWidth="1"/>
    <col min="13" max="13" width="9.625" style="1" customWidth="1"/>
    <col min="14" max="14" width="12.625" style="154" customWidth="1"/>
    <col min="15" max="16369" width="8" style="6"/>
  </cols>
  <sheetData>
    <row r="1" s="1" customFormat="1" ht="32" customHeight="1" spans="1:14">
      <c r="A1" s="11" t="s">
        <v>2167</v>
      </c>
      <c r="B1" s="11"/>
      <c r="C1" s="11"/>
      <c r="D1" s="11"/>
      <c r="E1" s="11"/>
      <c r="F1" s="11"/>
      <c r="G1" s="11"/>
      <c r="H1" s="11"/>
      <c r="I1" s="173"/>
      <c r="J1" s="173"/>
      <c r="K1" s="11"/>
      <c r="L1" s="173"/>
      <c r="M1" s="11"/>
      <c r="N1" s="11"/>
    </row>
    <row r="2" s="1" customFormat="1" spans="1:14">
      <c r="A2" s="12"/>
      <c r="B2" s="4"/>
      <c r="D2" s="4"/>
      <c r="E2" s="4"/>
      <c r="I2" s="153"/>
      <c r="J2" s="153"/>
      <c r="L2" s="153"/>
      <c r="N2" s="154"/>
    </row>
    <row r="3" s="1" customFormat="1" ht="18" customHeight="1" spans="1:14">
      <c r="A3" s="155" t="s">
        <v>1272</v>
      </c>
      <c r="B3" s="155" t="s">
        <v>861</v>
      </c>
      <c r="C3" s="155" t="s">
        <v>1427</v>
      </c>
      <c r="D3" s="155" t="s">
        <v>1428</v>
      </c>
      <c r="E3" s="155" t="s">
        <v>1429</v>
      </c>
      <c r="F3" s="155" t="s">
        <v>1273</v>
      </c>
      <c r="G3" s="155"/>
      <c r="H3" s="155"/>
      <c r="I3" s="174" t="s">
        <v>854</v>
      </c>
      <c r="J3" s="174" t="s">
        <v>855</v>
      </c>
      <c r="K3" s="175" t="s">
        <v>1430</v>
      </c>
      <c r="L3" s="174" t="s">
        <v>858</v>
      </c>
      <c r="M3" s="155" t="s">
        <v>8</v>
      </c>
      <c r="N3" s="155" t="s">
        <v>1431</v>
      </c>
    </row>
    <row r="4" s="1" customFormat="1" ht="54" customHeight="1" spans="1:14">
      <c r="A4" s="156"/>
      <c r="B4" s="156"/>
      <c r="C4" s="156"/>
      <c r="D4" s="156"/>
      <c r="E4" s="156"/>
      <c r="F4" s="157" t="s">
        <v>390</v>
      </c>
      <c r="G4" s="157" t="s">
        <v>1432</v>
      </c>
      <c r="H4" s="157" t="s">
        <v>1433</v>
      </c>
      <c r="I4" s="174"/>
      <c r="J4" s="174"/>
      <c r="K4" s="175"/>
      <c r="L4" s="174"/>
      <c r="M4" s="155"/>
      <c r="N4" s="155"/>
    </row>
    <row r="5" s="1" customFormat="1" ht="18" customHeight="1" spans="1:14">
      <c r="A5" s="158">
        <v>1</v>
      </c>
      <c r="B5" s="155">
        <v>2</v>
      </c>
      <c r="C5" s="158">
        <v>3</v>
      </c>
      <c r="D5" s="155">
        <v>4</v>
      </c>
      <c r="E5" s="155">
        <v>5</v>
      </c>
      <c r="F5" s="158"/>
      <c r="G5" s="158"/>
      <c r="H5" s="158"/>
      <c r="I5" s="176"/>
      <c r="J5" s="176"/>
      <c r="K5" s="158"/>
      <c r="L5" s="176"/>
      <c r="M5" s="158"/>
      <c r="N5" s="177"/>
    </row>
    <row r="6" s="1" customFormat="1" ht="26.25" customHeight="1" spans="1:14">
      <c r="A6" s="159"/>
      <c r="B6" s="160"/>
      <c r="C6" s="159"/>
      <c r="D6" s="161" t="s">
        <v>8</v>
      </c>
      <c r="E6" s="160">
        <f>F6-10461.635737</f>
        <v>0</v>
      </c>
      <c r="F6" s="162">
        <f>F7+F17+F27+F48+F57+F65+F73+F81+F37+F41</f>
        <v>10461.635737</v>
      </c>
      <c r="G6" s="162">
        <f t="shared" ref="G6:M6" si="0">G7+G17+G27+G48+G57+G65+G73+G81+G37+G41</f>
        <v>10461.635737</v>
      </c>
      <c r="H6" s="162">
        <f t="shared" si="0"/>
        <v>0</v>
      </c>
      <c r="I6" s="162">
        <f t="shared" si="0"/>
        <v>0</v>
      </c>
      <c r="J6" s="162">
        <f t="shared" si="0"/>
        <v>9.001665</v>
      </c>
      <c r="K6" s="162">
        <f t="shared" si="0"/>
        <v>1058</v>
      </c>
      <c r="L6" s="162">
        <f t="shared" si="0"/>
        <v>1383.001665</v>
      </c>
      <c r="M6" s="162">
        <f t="shared" si="0"/>
        <v>10145.635737</v>
      </c>
      <c r="N6" s="178"/>
    </row>
    <row r="7" s="1" customFormat="1" ht="26.25" customHeight="1" spans="1:14">
      <c r="A7" s="163" t="s">
        <v>2168</v>
      </c>
      <c r="B7" s="164" t="s">
        <v>1413</v>
      </c>
      <c r="C7" s="165"/>
      <c r="D7" s="166"/>
      <c r="E7" s="166"/>
      <c r="F7" s="167">
        <f>SUM(F8:F16)</f>
        <v>825.979189</v>
      </c>
      <c r="G7" s="167">
        <f t="shared" ref="G7:M7" si="1">SUM(G8:G16)</f>
        <v>825.979189</v>
      </c>
      <c r="H7" s="167">
        <f t="shared" si="1"/>
        <v>0</v>
      </c>
      <c r="I7" s="167">
        <f t="shared" si="1"/>
        <v>0</v>
      </c>
      <c r="J7" s="167">
        <f t="shared" si="1"/>
        <v>0</v>
      </c>
      <c r="K7" s="167">
        <f t="shared" si="1"/>
        <v>87.657365</v>
      </c>
      <c r="L7" s="167">
        <f t="shared" si="1"/>
        <v>87.657365</v>
      </c>
      <c r="M7" s="167">
        <f t="shared" si="1"/>
        <v>825.979189</v>
      </c>
      <c r="N7" s="179"/>
    </row>
    <row r="8" s="1" customFormat="1" ht="26.25" customHeight="1" spans="1:14">
      <c r="A8" s="168" t="s">
        <v>2169</v>
      </c>
      <c r="B8" s="169" t="s">
        <v>2170</v>
      </c>
      <c r="C8" s="170" t="s">
        <v>2171</v>
      </c>
      <c r="D8" s="169" t="s">
        <v>1439</v>
      </c>
      <c r="E8" s="169" t="s">
        <v>2172</v>
      </c>
      <c r="F8" s="171">
        <f t="shared" ref="F8:F16" si="2">SUM(G8:H8)</f>
        <v>152.308281</v>
      </c>
      <c r="G8" s="171">
        <v>152.308281</v>
      </c>
      <c r="H8" s="171"/>
      <c r="I8" s="180"/>
      <c r="J8" s="180"/>
      <c r="K8" s="171"/>
      <c r="L8" s="180"/>
      <c r="M8" s="171">
        <f t="shared" ref="M8:M16" si="3">F8+I8+J8+K8-L8</f>
        <v>152.308281</v>
      </c>
      <c r="N8" s="181"/>
    </row>
    <row r="9" s="1" customFormat="1" ht="26.25" customHeight="1" spans="1:14">
      <c r="A9" s="168" t="s">
        <v>2169</v>
      </c>
      <c r="B9" s="169" t="s">
        <v>2170</v>
      </c>
      <c r="C9" s="170" t="s">
        <v>2171</v>
      </c>
      <c r="D9" s="169" t="s">
        <v>1439</v>
      </c>
      <c r="E9" s="169" t="s">
        <v>2173</v>
      </c>
      <c r="F9" s="171">
        <f t="shared" si="2"/>
        <v>442.78474</v>
      </c>
      <c r="G9" s="171">
        <v>442.78474</v>
      </c>
      <c r="H9" s="171"/>
      <c r="I9" s="180"/>
      <c r="J9" s="180"/>
      <c r="K9" s="171">
        <v>87.657365</v>
      </c>
      <c r="L9" s="180">
        <v>87.657365</v>
      </c>
      <c r="M9" s="171">
        <f t="shared" si="3"/>
        <v>442.78474</v>
      </c>
      <c r="N9" s="182" t="s">
        <v>2174</v>
      </c>
    </row>
    <row r="10" s="1" customFormat="1" ht="26.25" customHeight="1" spans="1:14">
      <c r="A10" s="168" t="s">
        <v>2169</v>
      </c>
      <c r="B10" s="169" t="s">
        <v>2170</v>
      </c>
      <c r="C10" s="170" t="s">
        <v>2171</v>
      </c>
      <c r="D10" s="169" t="s">
        <v>1439</v>
      </c>
      <c r="E10" s="169" t="s">
        <v>2175</v>
      </c>
      <c r="F10" s="171">
        <f t="shared" si="2"/>
        <v>21.137614</v>
      </c>
      <c r="G10" s="171">
        <v>21.137614</v>
      </c>
      <c r="H10" s="171"/>
      <c r="I10" s="180"/>
      <c r="J10" s="180"/>
      <c r="K10" s="171"/>
      <c r="L10" s="180"/>
      <c r="M10" s="171">
        <f t="shared" si="3"/>
        <v>21.137614</v>
      </c>
      <c r="N10" s="181"/>
    </row>
    <row r="11" s="1" customFormat="1" ht="26.25" customHeight="1" spans="1:14">
      <c r="A11" s="168" t="s">
        <v>2169</v>
      </c>
      <c r="B11" s="169" t="s">
        <v>2170</v>
      </c>
      <c r="C11" s="170" t="s">
        <v>2171</v>
      </c>
      <c r="D11" s="169" t="s">
        <v>1439</v>
      </c>
      <c r="E11" s="169" t="s">
        <v>2176</v>
      </c>
      <c r="F11" s="171">
        <f t="shared" si="2"/>
        <v>10.488385</v>
      </c>
      <c r="G11" s="171">
        <v>10.488385</v>
      </c>
      <c r="H11" s="171"/>
      <c r="I11" s="180"/>
      <c r="J11" s="180"/>
      <c r="K11" s="171"/>
      <c r="L11" s="180"/>
      <c r="M11" s="171">
        <f t="shared" si="3"/>
        <v>10.488385</v>
      </c>
      <c r="N11" s="181"/>
    </row>
    <row r="12" s="1" customFormat="1" ht="26.25" customHeight="1" spans="1:14">
      <c r="A12" s="168" t="s">
        <v>2169</v>
      </c>
      <c r="B12" s="169" t="s">
        <v>2170</v>
      </c>
      <c r="C12" s="170" t="s">
        <v>2171</v>
      </c>
      <c r="D12" s="169" t="s">
        <v>1439</v>
      </c>
      <c r="E12" s="169" t="s">
        <v>2177</v>
      </c>
      <c r="F12" s="171">
        <f t="shared" si="2"/>
        <v>56.366969</v>
      </c>
      <c r="G12" s="171">
        <v>56.366969</v>
      </c>
      <c r="H12" s="171"/>
      <c r="I12" s="180"/>
      <c r="J12" s="180"/>
      <c r="K12" s="171"/>
      <c r="L12" s="180"/>
      <c r="M12" s="171">
        <f t="shared" si="3"/>
        <v>56.366969</v>
      </c>
      <c r="N12" s="181"/>
    </row>
    <row r="13" s="1" customFormat="1" ht="26.25" customHeight="1" spans="1:14">
      <c r="A13" s="168" t="s">
        <v>2169</v>
      </c>
      <c r="B13" s="169" t="s">
        <v>2170</v>
      </c>
      <c r="C13" s="170" t="s">
        <v>2171</v>
      </c>
      <c r="D13" s="169" t="s">
        <v>1439</v>
      </c>
      <c r="E13" s="169" t="s">
        <v>2178</v>
      </c>
      <c r="F13" s="171">
        <f t="shared" si="2"/>
        <v>28</v>
      </c>
      <c r="G13" s="171">
        <v>28</v>
      </c>
      <c r="H13" s="171"/>
      <c r="I13" s="180"/>
      <c r="J13" s="180"/>
      <c r="K13" s="171"/>
      <c r="L13" s="180"/>
      <c r="M13" s="171">
        <f t="shared" si="3"/>
        <v>28</v>
      </c>
      <c r="N13" s="181"/>
    </row>
    <row r="14" s="1" customFormat="1" ht="26.25" customHeight="1" spans="1:14">
      <c r="A14" s="168" t="s">
        <v>2169</v>
      </c>
      <c r="B14" s="169" t="s">
        <v>2170</v>
      </c>
      <c r="C14" s="170" t="s">
        <v>2171</v>
      </c>
      <c r="D14" s="169" t="s">
        <v>1439</v>
      </c>
      <c r="E14" s="169" t="s">
        <v>2179</v>
      </c>
      <c r="F14" s="171">
        <f t="shared" si="2"/>
        <v>30.94</v>
      </c>
      <c r="G14" s="171">
        <v>30.94</v>
      </c>
      <c r="H14" s="171"/>
      <c r="I14" s="180"/>
      <c r="J14" s="180"/>
      <c r="K14" s="171"/>
      <c r="L14" s="180"/>
      <c r="M14" s="171">
        <f t="shared" si="3"/>
        <v>30.94</v>
      </c>
      <c r="N14" s="181"/>
    </row>
    <row r="15" s="1" customFormat="1" ht="26.25" customHeight="1" spans="1:14">
      <c r="A15" s="168" t="s">
        <v>2169</v>
      </c>
      <c r="B15" s="169" t="s">
        <v>2170</v>
      </c>
      <c r="C15" s="170" t="s">
        <v>2171</v>
      </c>
      <c r="D15" s="169" t="s">
        <v>1439</v>
      </c>
      <c r="E15" s="169" t="s">
        <v>2180</v>
      </c>
      <c r="F15" s="171">
        <f t="shared" si="2"/>
        <v>2.31</v>
      </c>
      <c r="G15" s="171">
        <v>2.31</v>
      </c>
      <c r="H15" s="171"/>
      <c r="I15" s="180"/>
      <c r="J15" s="180"/>
      <c r="K15" s="171"/>
      <c r="L15" s="180"/>
      <c r="M15" s="171">
        <f t="shared" si="3"/>
        <v>2.31</v>
      </c>
      <c r="N15" s="181"/>
    </row>
    <row r="16" s="1" customFormat="1" ht="26.25" customHeight="1" spans="1:14">
      <c r="A16" s="168" t="s">
        <v>2169</v>
      </c>
      <c r="B16" s="169" t="s">
        <v>2170</v>
      </c>
      <c r="C16" s="170" t="s">
        <v>2171</v>
      </c>
      <c r="D16" s="169" t="s">
        <v>1439</v>
      </c>
      <c r="E16" s="169" t="s">
        <v>2181</v>
      </c>
      <c r="F16" s="171">
        <f t="shared" si="2"/>
        <v>81.6432</v>
      </c>
      <c r="G16" s="171">
        <v>81.6432</v>
      </c>
      <c r="H16" s="171"/>
      <c r="I16" s="180"/>
      <c r="J16" s="180"/>
      <c r="K16" s="171"/>
      <c r="L16" s="180"/>
      <c r="M16" s="171">
        <f t="shared" si="3"/>
        <v>81.6432</v>
      </c>
      <c r="N16" s="181"/>
    </row>
    <row r="17" s="1" customFormat="1" ht="26.25" customHeight="1" spans="1:14">
      <c r="A17" s="163" t="s">
        <v>2182</v>
      </c>
      <c r="B17" s="164" t="s">
        <v>1414</v>
      </c>
      <c r="C17" s="165"/>
      <c r="D17" s="166"/>
      <c r="E17" s="166"/>
      <c r="F17" s="167">
        <f>SUM(F18:F26)</f>
        <v>694.865097</v>
      </c>
      <c r="G17" s="167">
        <f t="shared" ref="G17:M17" si="4">SUM(G18:G26)</f>
        <v>694.865097</v>
      </c>
      <c r="H17" s="167">
        <f t="shared" si="4"/>
        <v>0</v>
      </c>
      <c r="I17" s="167">
        <f t="shared" si="4"/>
        <v>0</v>
      </c>
      <c r="J17" s="167">
        <f t="shared" si="4"/>
        <v>0</v>
      </c>
      <c r="K17" s="167">
        <f t="shared" si="4"/>
        <v>45.109347</v>
      </c>
      <c r="L17" s="167">
        <f t="shared" si="4"/>
        <v>45.109347</v>
      </c>
      <c r="M17" s="167">
        <f t="shared" si="4"/>
        <v>694.865097</v>
      </c>
      <c r="N17" s="179"/>
    </row>
    <row r="18" s="1" customFormat="1" ht="26.25" customHeight="1" spans="1:14">
      <c r="A18" s="168" t="s">
        <v>2183</v>
      </c>
      <c r="B18" s="169" t="s">
        <v>2184</v>
      </c>
      <c r="C18" s="170" t="s">
        <v>2185</v>
      </c>
      <c r="D18" s="169" t="s">
        <v>1439</v>
      </c>
      <c r="E18" s="169" t="s">
        <v>2186</v>
      </c>
      <c r="F18" s="171">
        <f t="shared" ref="F18:F26" si="5">SUM(G18:H18)</f>
        <v>1.6</v>
      </c>
      <c r="G18" s="171">
        <v>1.6</v>
      </c>
      <c r="H18" s="171"/>
      <c r="I18" s="180"/>
      <c r="J18" s="180"/>
      <c r="K18" s="171"/>
      <c r="L18" s="180"/>
      <c r="M18" s="171">
        <f t="shared" ref="M18:M26" si="6">F18+I18+J18+K18-L18</f>
        <v>1.6</v>
      </c>
      <c r="N18" s="181"/>
    </row>
    <row r="19" s="1" customFormat="1" ht="26.25" customHeight="1" spans="1:14">
      <c r="A19" s="168" t="s">
        <v>2183</v>
      </c>
      <c r="B19" s="169" t="s">
        <v>2184</v>
      </c>
      <c r="C19" s="170" t="s">
        <v>2185</v>
      </c>
      <c r="D19" s="169" t="s">
        <v>1439</v>
      </c>
      <c r="E19" s="169" t="s">
        <v>2187</v>
      </c>
      <c r="F19" s="171">
        <f t="shared" si="5"/>
        <v>25.3</v>
      </c>
      <c r="G19" s="171">
        <v>25.3</v>
      </c>
      <c r="H19" s="171"/>
      <c r="I19" s="180"/>
      <c r="J19" s="180"/>
      <c r="K19" s="171"/>
      <c r="L19" s="180"/>
      <c r="M19" s="171">
        <f t="shared" si="6"/>
        <v>25.3</v>
      </c>
      <c r="N19" s="181"/>
    </row>
    <row r="20" s="1" customFormat="1" ht="26.25" customHeight="1" spans="1:14">
      <c r="A20" s="168" t="s">
        <v>2183</v>
      </c>
      <c r="B20" s="169" t="s">
        <v>2184</v>
      </c>
      <c r="C20" s="170" t="s">
        <v>2185</v>
      </c>
      <c r="D20" s="169" t="s">
        <v>1439</v>
      </c>
      <c r="E20" s="169" t="s">
        <v>2188</v>
      </c>
      <c r="F20" s="171">
        <f t="shared" si="5"/>
        <v>132.612155</v>
      </c>
      <c r="G20" s="171">
        <v>132.612155</v>
      </c>
      <c r="H20" s="171"/>
      <c r="I20" s="180"/>
      <c r="J20" s="180"/>
      <c r="K20" s="171"/>
      <c r="L20" s="180"/>
      <c r="M20" s="171">
        <f t="shared" si="6"/>
        <v>132.612155</v>
      </c>
      <c r="N20" s="181"/>
    </row>
    <row r="21" s="1" customFormat="1" ht="26.25" customHeight="1" spans="1:14">
      <c r="A21" s="168" t="s">
        <v>2183</v>
      </c>
      <c r="B21" s="169" t="s">
        <v>2184</v>
      </c>
      <c r="C21" s="170" t="s">
        <v>2185</v>
      </c>
      <c r="D21" s="169" t="s">
        <v>1439</v>
      </c>
      <c r="E21" s="169" t="s">
        <v>2189</v>
      </c>
      <c r="F21" s="171">
        <f t="shared" si="5"/>
        <v>48.708315</v>
      </c>
      <c r="G21" s="171">
        <v>48.708315</v>
      </c>
      <c r="H21" s="171"/>
      <c r="I21" s="180"/>
      <c r="J21" s="180"/>
      <c r="K21" s="171"/>
      <c r="L21" s="180"/>
      <c r="M21" s="171">
        <f t="shared" si="6"/>
        <v>48.708315</v>
      </c>
      <c r="N21" s="181"/>
    </row>
    <row r="22" s="1" customFormat="1" ht="26.25" customHeight="1" spans="1:14">
      <c r="A22" s="168" t="s">
        <v>2183</v>
      </c>
      <c r="B22" s="169" t="s">
        <v>2184</v>
      </c>
      <c r="C22" s="170" t="s">
        <v>2185</v>
      </c>
      <c r="D22" s="169" t="s">
        <v>1439</v>
      </c>
      <c r="E22" s="169" t="s">
        <v>2190</v>
      </c>
      <c r="F22" s="171">
        <f t="shared" si="5"/>
        <v>52.647384</v>
      </c>
      <c r="G22" s="171">
        <v>52.647384</v>
      </c>
      <c r="H22" s="171"/>
      <c r="I22" s="180"/>
      <c r="J22" s="180"/>
      <c r="K22" s="171"/>
      <c r="L22" s="180"/>
      <c r="M22" s="171">
        <f t="shared" si="6"/>
        <v>52.647384</v>
      </c>
      <c r="N22" s="181"/>
    </row>
    <row r="23" s="1" customFormat="1" ht="26.25" customHeight="1" spans="1:14">
      <c r="A23" s="168" t="s">
        <v>2183</v>
      </c>
      <c r="B23" s="169" t="s">
        <v>2184</v>
      </c>
      <c r="C23" s="170" t="s">
        <v>2185</v>
      </c>
      <c r="D23" s="169" t="s">
        <v>1439</v>
      </c>
      <c r="E23" s="169" t="s">
        <v>2191</v>
      </c>
      <c r="F23" s="171">
        <f t="shared" si="5"/>
        <v>384.602622</v>
      </c>
      <c r="G23" s="171">
        <v>384.602622</v>
      </c>
      <c r="H23" s="171"/>
      <c r="I23" s="180"/>
      <c r="J23" s="180"/>
      <c r="K23" s="171">
        <v>45.109347</v>
      </c>
      <c r="L23" s="180">
        <v>45.109347</v>
      </c>
      <c r="M23" s="171">
        <f t="shared" si="6"/>
        <v>384.602622</v>
      </c>
      <c r="N23" s="182" t="s">
        <v>478</v>
      </c>
    </row>
    <row r="24" s="1" customFormat="1" ht="26.25" customHeight="1" spans="1:14">
      <c r="A24" s="168" t="s">
        <v>2183</v>
      </c>
      <c r="B24" s="169" t="s">
        <v>2184</v>
      </c>
      <c r="C24" s="170" t="s">
        <v>2185</v>
      </c>
      <c r="D24" s="169" t="s">
        <v>1439</v>
      </c>
      <c r="E24" s="169" t="s">
        <v>2192</v>
      </c>
      <c r="F24" s="171">
        <f t="shared" si="5"/>
        <v>18.265618</v>
      </c>
      <c r="G24" s="171">
        <v>18.265618</v>
      </c>
      <c r="H24" s="171"/>
      <c r="I24" s="180"/>
      <c r="J24" s="180"/>
      <c r="K24" s="171"/>
      <c r="L24" s="180"/>
      <c r="M24" s="171">
        <f t="shared" si="6"/>
        <v>18.265618</v>
      </c>
      <c r="N24" s="182"/>
    </row>
    <row r="25" s="1" customFormat="1" ht="26.25" customHeight="1" spans="1:14">
      <c r="A25" s="168" t="s">
        <v>2183</v>
      </c>
      <c r="B25" s="169" t="s">
        <v>2184</v>
      </c>
      <c r="C25" s="170" t="s">
        <v>2185</v>
      </c>
      <c r="D25" s="169" t="s">
        <v>1439</v>
      </c>
      <c r="E25" s="169" t="s">
        <v>2193</v>
      </c>
      <c r="F25" s="171">
        <f t="shared" si="5"/>
        <v>7.129003</v>
      </c>
      <c r="G25" s="171">
        <v>7.129003</v>
      </c>
      <c r="H25" s="171"/>
      <c r="I25" s="180"/>
      <c r="J25" s="180"/>
      <c r="K25" s="171"/>
      <c r="L25" s="180"/>
      <c r="M25" s="171">
        <f t="shared" si="6"/>
        <v>7.129003</v>
      </c>
      <c r="N25" s="182"/>
    </row>
    <row r="26" s="1" customFormat="1" ht="26.25" customHeight="1" spans="1:14">
      <c r="A26" s="168" t="s">
        <v>2183</v>
      </c>
      <c r="B26" s="169" t="s">
        <v>2184</v>
      </c>
      <c r="C26" s="170" t="s">
        <v>2185</v>
      </c>
      <c r="D26" s="169" t="s">
        <v>1439</v>
      </c>
      <c r="E26" s="169" t="s">
        <v>2194</v>
      </c>
      <c r="F26" s="171">
        <f t="shared" si="5"/>
        <v>24</v>
      </c>
      <c r="G26" s="171">
        <v>24</v>
      </c>
      <c r="H26" s="171"/>
      <c r="I26" s="180"/>
      <c r="J26" s="180"/>
      <c r="K26" s="171"/>
      <c r="L26" s="180"/>
      <c r="M26" s="171">
        <f t="shared" si="6"/>
        <v>24</v>
      </c>
      <c r="N26" s="182"/>
    </row>
    <row r="27" s="1" customFormat="1" ht="26.25" customHeight="1" spans="1:14">
      <c r="A27" s="163" t="s">
        <v>2195</v>
      </c>
      <c r="B27" s="164" t="s">
        <v>1415</v>
      </c>
      <c r="C27" s="165"/>
      <c r="D27" s="166"/>
      <c r="E27" s="166"/>
      <c r="F27" s="167">
        <f>SUM(F28:F36)</f>
        <v>1100.762684</v>
      </c>
      <c r="G27" s="167">
        <f t="shared" ref="G27:M27" si="7">SUM(G28:G36)</f>
        <v>1100.762684</v>
      </c>
      <c r="H27" s="167">
        <f t="shared" si="7"/>
        <v>0</v>
      </c>
      <c r="I27" s="167">
        <f t="shared" si="7"/>
        <v>0</v>
      </c>
      <c r="J27" s="167">
        <f t="shared" si="7"/>
        <v>0</v>
      </c>
      <c r="K27" s="167">
        <f t="shared" si="7"/>
        <v>70.866324</v>
      </c>
      <c r="L27" s="167">
        <f t="shared" si="7"/>
        <v>70.866324</v>
      </c>
      <c r="M27" s="167">
        <f t="shared" si="7"/>
        <v>1100.762684</v>
      </c>
      <c r="N27" s="183"/>
    </row>
    <row r="28" s="1" customFormat="1" ht="26.25" customHeight="1" spans="1:14">
      <c r="A28" s="168" t="s">
        <v>2196</v>
      </c>
      <c r="B28" s="169" t="s">
        <v>2197</v>
      </c>
      <c r="C28" s="170" t="s">
        <v>1438</v>
      </c>
      <c r="D28" s="169" t="s">
        <v>1439</v>
      </c>
      <c r="E28" s="169" t="s">
        <v>2198</v>
      </c>
      <c r="F28" s="171">
        <f t="shared" ref="F28:F36" si="8">SUM(G28:H28)</f>
        <v>28.343916</v>
      </c>
      <c r="G28" s="171">
        <v>28.343916</v>
      </c>
      <c r="H28" s="171"/>
      <c r="I28" s="180"/>
      <c r="J28" s="180"/>
      <c r="K28" s="171"/>
      <c r="L28" s="180"/>
      <c r="M28" s="171">
        <f t="shared" ref="M28:M36" si="9">F28+I28+J28+K28-L28</f>
        <v>28.343916</v>
      </c>
      <c r="N28" s="182"/>
    </row>
    <row r="29" s="1" customFormat="1" ht="26.25" customHeight="1" spans="1:14">
      <c r="A29" s="168" t="s">
        <v>2196</v>
      </c>
      <c r="B29" s="169" t="s">
        <v>2197</v>
      </c>
      <c r="C29" s="170" t="s">
        <v>1438</v>
      </c>
      <c r="D29" s="169" t="s">
        <v>1439</v>
      </c>
      <c r="E29" s="169" t="s">
        <v>2199</v>
      </c>
      <c r="F29" s="171">
        <f t="shared" si="8"/>
        <v>1.85456</v>
      </c>
      <c r="G29" s="171">
        <v>1.85456</v>
      </c>
      <c r="H29" s="171"/>
      <c r="I29" s="180"/>
      <c r="J29" s="180"/>
      <c r="K29" s="171"/>
      <c r="L29" s="180"/>
      <c r="M29" s="171">
        <f t="shared" si="9"/>
        <v>1.85456</v>
      </c>
      <c r="N29" s="182"/>
    </row>
    <row r="30" s="1" customFormat="1" ht="26.25" customHeight="1" spans="1:14">
      <c r="A30" s="168" t="s">
        <v>2196</v>
      </c>
      <c r="B30" s="169" t="s">
        <v>2197</v>
      </c>
      <c r="C30" s="170" t="s">
        <v>1438</v>
      </c>
      <c r="D30" s="169" t="s">
        <v>1439</v>
      </c>
      <c r="E30" s="169" t="s">
        <v>2200</v>
      </c>
      <c r="F30" s="171">
        <f t="shared" si="8"/>
        <v>75.583776</v>
      </c>
      <c r="G30" s="171">
        <v>75.583776</v>
      </c>
      <c r="H30" s="171"/>
      <c r="I30" s="180"/>
      <c r="J30" s="180"/>
      <c r="K30" s="171"/>
      <c r="L30" s="180"/>
      <c r="M30" s="171">
        <f t="shared" si="9"/>
        <v>75.583776</v>
      </c>
      <c r="N30" s="182"/>
    </row>
    <row r="31" s="1" customFormat="1" ht="26.25" customHeight="1" spans="1:14">
      <c r="A31" s="168" t="s">
        <v>2196</v>
      </c>
      <c r="B31" s="169" t="s">
        <v>2197</v>
      </c>
      <c r="C31" s="170" t="s">
        <v>1438</v>
      </c>
      <c r="D31" s="169" t="s">
        <v>1439</v>
      </c>
      <c r="E31" s="169" t="s">
        <v>2201</v>
      </c>
      <c r="F31" s="171">
        <f t="shared" si="8"/>
        <v>24.22</v>
      </c>
      <c r="G31" s="171">
        <v>24.22</v>
      </c>
      <c r="H31" s="171"/>
      <c r="I31" s="180"/>
      <c r="J31" s="180"/>
      <c r="K31" s="171"/>
      <c r="L31" s="180"/>
      <c r="M31" s="171">
        <f t="shared" si="9"/>
        <v>24.22</v>
      </c>
      <c r="N31" s="182"/>
    </row>
    <row r="32" s="1" customFormat="1" ht="26.25" customHeight="1" spans="1:14">
      <c r="A32" s="168" t="s">
        <v>2196</v>
      </c>
      <c r="B32" s="169" t="s">
        <v>2197</v>
      </c>
      <c r="C32" s="170" t="s">
        <v>1438</v>
      </c>
      <c r="D32" s="169" t="s">
        <v>1439</v>
      </c>
      <c r="E32" s="169" t="s">
        <v>2202</v>
      </c>
      <c r="F32" s="171">
        <f t="shared" si="8"/>
        <v>13.911192</v>
      </c>
      <c r="G32" s="171">
        <v>13.911192</v>
      </c>
      <c r="H32" s="171"/>
      <c r="I32" s="180"/>
      <c r="J32" s="180"/>
      <c r="K32" s="171"/>
      <c r="L32" s="180"/>
      <c r="M32" s="171">
        <f t="shared" si="9"/>
        <v>13.911192</v>
      </c>
      <c r="N32" s="182"/>
    </row>
    <row r="33" s="1" customFormat="1" ht="26.25" customHeight="1" spans="1:14">
      <c r="A33" s="168" t="s">
        <v>2196</v>
      </c>
      <c r="B33" s="169" t="s">
        <v>2197</v>
      </c>
      <c r="C33" s="170" t="s">
        <v>1438</v>
      </c>
      <c r="D33" s="169" t="s">
        <v>1439</v>
      </c>
      <c r="E33" s="169" t="s">
        <v>2203</v>
      </c>
      <c r="F33" s="171">
        <f t="shared" si="8"/>
        <v>0.36</v>
      </c>
      <c r="G33" s="171">
        <v>0.36</v>
      </c>
      <c r="H33" s="171"/>
      <c r="I33" s="180"/>
      <c r="J33" s="180"/>
      <c r="K33" s="171"/>
      <c r="L33" s="180"/>
      <c r="M33" s="171">
        <f t="shared" si="9"/>
        <v>0.36</v>
      </c>
      <c r="N33" s="182"/>
    </row>
    <row r="34" s="1" customFormat="1" ht="26.25" customHeight="1" spans="1:14">
      <c r="A34" s="168" t="s">
        <v>2196</v>
      </c>
      <c r="B34" s="169" t="s">
        <v>2197</v>
      </c>
      <c r="C34" s="170" t="s">
        <v>1438</v>
      </c>
      <c r="D34" s="169" t="s">
        <v>1439</v>
      </c>
      <c r="E34" s="169" t="s">
        <v>2204</v>
      </c>
      <c r="F34" s="171">
        <f t="shared" si="8"/>
        <v>54</v>
      </c>
      <c r="G34" s="171">
        <v>54</v>
      </c>
      <c r="H34" s="171"/>
      <c r="I34" s="180"/>
      <c r="J34" s="180"/>
      <c r="K34" s="171"/>
      <c r="L34" s="180"/>
      <c r="M34" s="171">
        <f t="shared" si="9"/>
        <v>54</v>
      </c>
      <c r="N34" s="182"/>
    </row>
    <row r="35" s="1" customFormat="1" ht="26.25" customHeight="1" spans="1:14">
      <c r="A35" s="168" t="s">
        <v>2196</v>
      </c>
      <c r="B35" s="169" t="s">
        <v>2197</v>
      </c>
      <c r="C35" s="170" t="s">
        <v>1438</v>
      </c>
      <c r="D35" s="169" t="s">
        <v>1439</v>
      </c>
      <c r="E35" s="169" t="s">
        <v>2205</v>
      </c>
      <c r="F35" s="171">
        <f t="shared" si="8"/>
        <v>215.223318</v>
      </c>
      <c r="G35" s="171">
        <v>215.223318</v>
      </c>
      <c r="H35" s="171"/>
      <c r="I35" s="180"/>
      <c r="J35" s="180"/>
      <c r="K35" s="171"/>
      <c r="L35" s="180"/>
      <c r="M35" s="171">
        <f t="shared" si="9"/>
        <v>215.223318</v>
      </c>
      <c r="N35" s="182"/>
    </row>
    <row r="36" s="1" customFormat="1" ht="26.25" customHeight="1" spans="1:14">
      <c r="A36" s="168" t="s">
        <v>2196</v>
      </c>
      <c r="B36" s="169" t="s">
        <v>2197</v>
      </c>
      <c r="C36" s="170" t="s">
        <v>1438</v>
      </c>
      <c r="D36" s="169" t="s">
        <v>1439</v>
      </c>
      <c r="E36" s="169" t="s">
        <v>2206</v>
      </c>
      <c r="F36" s="171">
        <f t="shared" si="8"/>
        <v>687.265922</v>
      </c>
      <c r="G36" s="171">
        <v>687.265922</v>
      </c>
      <c r="H36" s="171"/>
      <c r="I36" s="180"/>
      <c r="J36" s="180"/>
      <c r="K36" s="171">
        <v>70.866324</v>
      </c>
      <c r="L36" s="180">
        <v>70.866324</v>
      </c>
      <c r="M36" s="171">
        <f t="shared" si="9"/>
        <v>687.265922</v>
      </c>
      <c r="N36" s="182" t="s">
        <v>478</v>
      </c>
    </row>
    <row r="37" s="1" customFormat="1" ht="26.25" customHeight="1" spans="1:14">
      <c r="A37" s="163" t="s">
        <v>2207</v>
      </c>
      <c r="B37" s="164" t="s">
        <v>2208</v>
      </c>
      <c r="C37" s="165"/>
      <c r="D37" s="166"/>
      <c r="E37" s="166"/>
      <c r="F37" s="167">
        <f>SUM(F38:F40)</f>
        <v>150.652474</v>
      </c>
      <c r="G37" s="167">
        <f t="shared" ref="G37:M37" si="10">SUM(G38:G40)</f>
        <v>150.652474</v>
      </c>
      <c r="H37" s="167">
        <f t="shared" si="10"/>
        <v>0</v>
      </c>
      <c r="I37" s="167">
        <f t="shared" si="10"/>
        <v>0</v>
      </c>
      <c r="J37" s="167">
        <f t="shared" si="10"/>
        <v>9.001665</v>
      </c>
      <c r="K37" s="167">
        <f t="shared" si="10"/>
        <v>8.998335</v>
      </c>
      <c r="L37" s="167">
        <f t="shared" si="10"/>
        <v>0</v>
      </c>
      <c r="M37" s="167">
        <f t="shared" si="10"/>
        <v>168.652474</v>
      </c>
      <c r="N37" s="179"/>
    </row>
    <row r="38" s="1" customFormat="1" ht="26.25" customHeight="1" spans="1:14">
      <c r="A38" s="168" t="s">
        <v>2209</v>
      </c>
      <c r="B38" s="169" t="s">
        <v>2210</v>
      </c>
      <c r="C38" s="170" t="s">
        <v>1981</v>
      </c>
      <c r="D38" s="169" t="s">
        <v>1439</v>
      </c>
      <c r="E38" s="169" t="s">
        <v>1632</v>
      </c>
      <c r="F38" s="171">
        <f t="shared" ref="F38:F40" si="11">SUM(G38:H38)</f>
        <v>126.652474</v>
      </c>
      <c r="G38" s="171">
        <v>126.652474</v>
      </c>
      <c r="H38" s="171"/>
      <c r="I38" s="180"/>
      <c r="J38" s="180">
        <v>9.001665</v>
      </c>
      <c r="K38" s="171">
        <v>8.998335</v>
      </c>
      <c r="L38" s="180"/>
      <c r="M38" s="171">
        <f t="shared" ref="M38:M40" si="12">F38+I38+J38+K38-L38</f>
        <v>144.652474</v>
      </c>
      <c r="N38" s="182" t="s">
        <v>478</v>
      </c>
    </row>
    <row r="39" s="1" customFormat="1" ht="26.25" customHeight="1" spans="1:14">
      <c r="A39" s="168" t="s">
        <v>2209</v>
      </c>
      <c r="B39" s="169" t="s">
        <v>2210</v>
      </c>
      <c r="C39" s="170" t="s">
        <v>1981</v>
      </c>
      <c r="D39" s="169" t="s">
        <v>1439</v>
      </c>
      <c r="E39" s="169" t="s">
        <v>1633</v>
      </c>
      <c r="F39" s="171">
        <f t="shared" si="11"/>
        <v>16</v>
      </c>
      <c r="G39" s="171">
        <v>16</v>
      </c>
      <c r="H39" s="171"/>
      <c r="I39" s="180"/>
      <c r="J39" s="180"/>
      <c r="K39" s="171"/>
      <c r="L39" s="180"/>
      <c r="M39" s="171">
        <f t="shared" si="12"/>
        <v>16</v>
      </c>
      <c r="N39" s="181"/>
    </row>
    <row r="40" s="1" customFormat="1" ht="26.25" customHeight="1" spans="1:14">
      <c r="A40" s="168" t="s">
        <v>2209</v>
      </c>
      <c r="B40" s="169" t="s">
        <v>2210</v>
      </c>
      <c r="C40" s="170" t="s">
        <v>1981</v>
      </c>
      <c r="D40" s="169" t="s">
        <v>1439</v>
      </c>
      <c r="E40" s="169" t="s">
        <v>2211</v>
      </c>
      <c r="F40" s="171">
        <f t="shared" si="11"/>
        <v>8</v>
      </c>
      <c r="G40" s="171">
        <v>8</v>
      </c>
      <c r="H40" s="171"/>
      <c r="I40" s="180"/>
      <c r="J40" s="180"/>
      <c r="K40" s="171"/>
      <c r="L40" s="180"/>
      <c r="M40" s="171">
        <f t="shared" si="12"/>
        <v>8</v>
      </c>
      <c r="N40" s="181"/>
    </row>
    <row r="41" s="1" customFormat="1" ht="26.25" customHeight="1" spans="1:14">
      <c r="A41" s="163" t="s">
        <v>2212</v>
      </c>
      <c r="B41" s="164" t="s">
        <v>1417</v>
      </c>
      <c r="C41" s="165"/>
      <c r="D41" s="166"/>
      <c r="E41" s="166"/>
      <c r="F41" s="167">
        <f>SUM(F42:F47)</f>
        <v>106.065594</v>
      </c>
      <c r="G41" s="167">
        <f t="shared" ref="G41:M41" si="13">SUM(G42:G47)</f>
        <v>106.065594</v>
      </c>
      <c r="H41" s="167">
        <f t="shared" si="13"/>
        <v>0</v>
      </c>
      <c r="I41" s="167">
        <f t="shared" si="13"/>
        <v>0</v>
      </c>
      <c r="J41" s="167">
        <f t="shared" si="13"/>
        <v>0</v>
      </c>
      <c r="K41" s="167">
        <f t="shared" si="13"/>
        <v>5.174425</v>
      </c>
      <c r="L41" s="167">
        <f t="shared" si="13"/>
        <v>5.174425</v>
      </c>
      <c r="M41" s="167">
        <f t="shared" si="13"/>
        <v>106.065594</v>
      </c>
      <c r="N41" s="179"/>
    </row>
    <row r="42" s="1" customFormat="1" ht="26.25" customHeight="1" spans="1:14">
      <c r="A42" s="168" t="s">
        <v>2213</v>
      </c>
      <c r="B42" s="169" t="s">
        <v>2214</v>
      </c>
      <c r="C42" s="170" t="s">
        <v>2215</v>
      </c>
      <c r="D42" s="169" t="s">
        <v>1439</v>
      </c>
      <c r="E42" s="169" t="s">
        <v>2211</v>
      </c>
      <c r="F42" s="171">
        <f t="shared" ref="F42:F47" si="14">SUM(G42:H42)</f>
        <v>5</v>
      </c>
      <c r="G42" s="171">
        <v>5</v>
      </c>
      <c r="H42" s="171"/>
      <c r="I42" s="180"/>
      <c r="J42" s="180"/>
      <c r="K42" s="171"/>
      <c r="L42" s="180"/>
      <c r="M42" s="171">
        <f t="shared" ref="M42:M47" si="15">F42+I42+J42+K42-L42</f>
        <v>5</v>
      </c>
      <c r="N42" s="181"/>
    </row>
    <row r="43" s="1" customFormat="1" ht="26.25" customHeight="1" spans="1:14">
      <c r="A43" s="168" t="s">
        <v>2213</v>
      </c>
      <c r="B43" s="169" t="s">
        <v>2214</v>
      </c>
      <c r="C43" s="170" t="s">
        <v>2215</v>
      </c>
      <c r="D43" s="169" t="s">
        <v>1439</v>
      </c>
      <c r="E43" s="169" t="s">
        <v>1637</v>
      </c>
      <c r="F43" s="171">
        <f t="shared" si="14"/>
        <v>2.887727</v>
      </c>
      <c r="G43" s="171">
        <v>2.887727</v>
      </c>
      <c r="H43" s="171"/>
      <c r="I43" s="180"/>
      <c r="J43" s="180"/>
      <c r="K43" s="171"/>
      <c r="L43" s="180"/>
      <c r="M43" s="171">
        <f t="shared" si="15"/>
        <v>2.887727</v>
      </c>
      <c r="N43" s="181"/>
    </row>
    <row r="44" s="1" customFormat="1" ht="26.25" customHeight="1" spans="1:14">
      <c r="A44" s="168" t="s">
        <v>2213</v>
      </c>
      <c r="B44" s="169" t="s">
        <v>2214</v>
      </c>
      <c r="C44" s="170" t="s">
        <v>2215</v>
      </c>
      <c r="D44" s="169" t="s">
        <v>1439</v>
      </c>
      <c r="E44" s="169" t="s">
        <v>1635</v>
      </c>
      <c r="F44" s="171">
        <f t="shared" si="14"/>
        <v>22.305563</v>
      </c>
      <c r="G44" s="171">
        <v>22.305563</v>
      </c>
      <c r="H44" s="171"/>
      <c r="I44" s="180"/>
      <c r="J44" s="180"/>
      <c r="K44" s="171"/>
      <c r="L44" s="180"/>
      <c r="M44" s="171">
        <f t="shared" si="15"/>
        <v>22.305563</v>
      </c>
      <c r="N44" s="181"/>
    </row>
    <row r="45" s="1" customFormat="1" ht="26.25" customHeight="1" spans="1:14">
      <c r="A45" s="168" t="s">
        <v>2213</v>
      </c>
      <c r="B45" s="169" t="s">
        <v>2214</v>
      </c>
      <c r="C45" s="170" t="s">
        <v>2215</v>
      </c>
      <c r="D45" s="169" t="s">
        <v>1439</v>
      </c>
      <c r="E45" s="169" t="s">
        <v>1632</v>
      </c>
      <c r="F45" s="171">
        <f t="shared" si="14"/>
        <v>62.3837</v>
      </c>
      <c r="G45" s="171">
        <v>62.3837</v>
      </c>
      <c r="H45" s="171"/>
      <c r="I45" s="180"/>
      <c r="J45" s="180"/>
      <c r="K45" s="171">
        <v>5.174425</v>
      </c>
      <c r="L45" s="180">
        <v>5.174425</v>
      </c>
      <c r="M45" s="171">
        <f t="shared" si="15"/>
        <v>62.3837</v>
      </c>
      <c r="N45" s="182" t="s">
        <v>478</v>
      </c>
    </row>
    <row r="46" s="1" customFormat="1" ht="26.25" customHeight="1" spans="1:14">
      <c r="A46" s="168" t="s">
        <v>2213</v>
      </c>
      <c r="B46" s="169" t="s">
        <v>2214</v>
      </c>
      <c r="C46" s="170" t="s">
        <v>2215</v>
      </c>
      <c r="D46" s="169" t="s">
        <v>1439</v>
      </c>
      <c r="E46" s="169" t="s">
        <v>1636</v>
      </c>
      <c r="F46" s="171">
        <f t="shared" si="14"/>
        <v>7.700604</v>
      </c>
      <c r="G46" s="171">
        <v>7.700604</v>
      </c>
      <c r="H46" s="171"/>
      <c r="I46" s="180"/>
      <c r="J46" s="180"/>
      <c r="K46" s="171"/>
      <c r="L46" s="180"/>
      <c r="M46" s="171">
        <f t="shared" si="15"/>
        <v>7.700604</v>
      </c>
      <c r="N46" s="181"/>
    </row>
    <row r="47" s="1" customFormat="1" ht="26.25" customHeight="1" spans="1:14">
      <c r="A47" s="168" t="s">
        <v>2213</v>
      </c>
      <c r="B47" s="169" t="s">
        <v>2214</v>
      </c>
      <c r="C47" s="170" t="s">
        <v>2215</v>
      </c>
      <c r="D47" s="169" t="s">
        <v>1439</v>
      </c>
      <c r="E47" s="169" t="s">
        <v>1633</v>
      </c>
      <c r="F47" s="171">
        <f t="shared" si="14"/>
        <v>5.788</v>
      </c>
      <c r="G47" s="171">
        <v>5.788</v>
      </c>
      <c r="H47" s="171"/>
      <c r="I47" s="180"/>
      <c r="J47" s="180"/>
      <c r="K47" s="171"/>
      <c r="L47" s="180"/>
      <c r="M47" s="171">
        <f t="shared" si="15"/>
        <v>5.788</v>
      </c>
      <c r="N47" s="181"/>
    </row>
    <row r="48" s="1" customFormat="1" ht="26.25" customHeight="1" spans="1:14">
      <c r="A48" s="163" t="s">
        <v>2216</v>
      </c>
      <c r="B48" s="164" t="s">
        <v>1418</v>
      </c>
      <c r="C48" s="165"/>
      <c r="D48" s="166"/>
      <c r="E48" s="166"/>
      <c r="F48" s="167">
        <f>SUM(F49:F56)</f>
        <v>305.647046</v>
      </c>
      <c r="G48" s="167">
        <f t="shared" ref="G48:M48" si="16">SUM(G49:G56)</f>
        <v>305.647046</v>
      </c>
      <c r="H48" s="167">
        <f t="shared" si="16"/>
        <v>0</v>
      </c>
      <c r="I48" s="167">
        <f t="shared" si="16"/>
        <v>0</v>
      </c>
      <c r="J48" s="167">
        <f t="shared" si="16"/>
        <v>0</v>
      </c>
      <c r="K48" s="167">
        <f t="shared" si="16"/>
        <v>8</v>
      </c>
      <c r="L48" s="167">
        <f t="shared" si="16"/>
        <v>0</v>
      </c>
      <c r="M48" s="167">
        <f t="shared" si="16"/>
        <v>313.647046</v>
      </c>
      <c r="N48" s="183"/>
    </row>
    <row r="49" s="1" customFormat="1" ht="26.25" customHeight="1" spans="1:14">
      <c r="A49" s="168" t="s">
        <v>2217</v>
      </c>
      <c r="B49" s="169" t="s">
        <v>2218</v>
      </c>
      <c r="C49" s="170" t="s">
        <v>2219</v>
      </c>
      <c r="D49" s="169" t="s">
        <v>2220</v>
      </c>
      <c r="E49" s="169" t="s">
        <v>2221</v>
      </c>
      <c r="F49" s="171">
        <f t="shared" ref="F49:F56" si="17">SUM(G49:H49)</f>
        <v>61.10256</v>
      </c>
      <c r="G49" s="171">
        <v>61.10256</v>
      </c>
      <c r="H49" s="171"/>
      <c r="I49" s="180"/>
      <c r="J49" s="180"/>
      <c r="K49" s="171"/>
      <c r="L49" s="180"/>
      <c r="M49" s="171">
        <f t="shared" ref="M49:M56" si="18">F49+I49+J49+K49-L49</f>
        <v>61.10256</v>
      </c>
      <c r="N49" s="182"/>
    </row>
    <row r="50" s="1" customFormat="1" ht="26.25" customHeight="1" spans="1:14">
      <c r="A50" s="168" t="s">
        <v>2217</v>
      </c>
      <c r="B50" s="169" t="s">
        <v>2218</v>
      </c>
      <c r="C50" s="170" t="s">
        <v>2219</v>
      </c>
      <c r="D50" s="169" t="s">
        <v>2220</v>
      </c>
      <c r="E50" s="169" t="s">
        <v>2222</v>
      </c>
      <c r="F50" s="171">
        <f t="shared" si="17"/>
        <v>20.25483</v>
      </c>
      <c r="G50" s="171">
        <v>20.25483</v>
      </c>
      <c r="H50" s="171"/>
      <c r="I50" s="180"/>
      <c r="J50" s="180"/>
      <c r="K50" s="171"/>
      <c r="L50" s="180"/>
      <c r="M50" s="171">
        <f t="shared" si="18"/>
        <v>20.25483</v>
      </c>
      <c r="N50" s="182"/>
    </row>
    <row r="51" s="1" customFormat="1" ht="26.25" customHeight="1" spans="1:14">
      <c r="A51" s="168" t="s">
        <v>2217</v>
      </c>
      <c r="B51" s="169" t="s">
        <v>2218</v>
      </c>
      <c r="C51" s="170" t="s">
        <v>2219</v>
      </c>
      <c r="D51" s="169" t="s">
        <v>2220</v>
      </c>
      <c r="E51" s="169" t="s">
        <v>2223</v>
      </c>
      <c r="F51" s="171">
        <f t="shared" si="17"/>
        <v>41.4</v>
      </c>
      <c r="G51" s="171">
        <v>41.4</v>
      </c>
      <c r="H51" s="171"/>
      <c r="I51" s="180"/>
      <c r="J51" s="180"/>
      <c r="K51" s="171"/>
      <c r="L51" s="180"/>
      <c r="M51" s="171">
        <f t="shared" si="18"/>
        <v>41.4</v>
      </c>
      <c r="N51" s="182"/>
    </row>
    <row r="52" s="1" customFormat="1" ht="26.25" customHeight="1" spans="1:14">
      <c r="A52" s="168" t="s">
        <v>2217</v>
      </c>
      <c r="B52" s="169" t="s">
        <v>2218</v>
      </c>
      <c r="C52" s="170" t="s">
        <v>2219</v>
      </c>
      <c r="D52" s="169" t="s">
        <v>2220</v>
      </c>
      <c r="E52" s="169" t="s">
        <v>2224</v>
      </c>
      <c r="F52" s="171">
        <f t="shared" si="17"/>
        <v>6.503845</v>
      </c>
      <c r="G52" s="171">
        <v>6.503845</v>
      </c>
      <c r="H52" s="171"/>
      <c r="I52" s="180"/>
      <c r="J52" s="180"/>
      <c r="K52" s="171"/>
      <c r="L52" s="180"/>
      <c r="M52" s="171">
        <f t="shared" si="18"/>
        <v>6.503845</v>
      </c>
      <c r="N52" s="182"/>
    </row>
    <row r="53" s="1" customFormat="1" ht="26.25" customHeight="1" spans="1:14">
      <c r="A53" s="168" t="s">
        <v>2217</v>
      </c>
      <c r="B53" s="169" t="s">
        <v>2218</v>
      </c>
      <c r="C53" s="170" t="s">
        <v>2219</v>
      </c>
      <c r="D53" s="169" t="s">
        <v>2220</v>
      </c>
      <c r="E53" s="169" t="s">
        <v>2225</v>
      </c>
      <c r="F53" s="171">
        <f t="shared" si="17"/>
        <v>7.595561</v>
      </c>
      <c r="G53" s="171">
        <v>7.595561</v>
      </c>
      <c r="H53" s="171"/>
      <c r="I53" s="180"/>
      <c r="J53" s="180"/>
      <c r="K53" s="171"/>
      <c r="L53" s="180"/>
      <c r="M53" s="171">
        <f t="shared" si="18"/>
        <v>7.595561</v>
      </c>
      <c r="N53" s="182"/>
    </row>
    <row r="54" s="1" customFormat="1" ht="26.25" customHeight="1" spans="1:14">
      <c r="A54" s="168" t="s">
        <v>2217</v>
      </c>
      <c r="B54" s="169" t="s">
        <v>2218</v>
      </c>
      <c r="C54" s="170" t="s">
        <v>2219</v>
      </c>
      <c r="D54" s="169" t="s">
        <v>2220</v>
      </c>
      <c r="E54" s="169" t="s">
        <v>2226</v>
      </c>
      <c r="F54" s="171">
        <f t="shared" si="17"/>
        <v>168.79025</v>
      </c>
      <c r="G54" s="171">
        <v>168.79025</v>
      </c>
      <c r="H54" s="171"/>
      <c r="I54" s="180"/>
      <c r="J54" s="180"/>
      <c r="K54" s="171"/>
      <c r="L54" s="180"/>
      <c r="M54" s="171">
        <f t="shared" si="18"/>
        <v>168.79025</v>
      </c>
      <c r="N54" s="182"/>
    </row>
    <row r="55" s="1" customFormat="1" ht="26.25" customHeight="1" spans="1:14">
      <c r="A55" s="168" t="s">
        <v>2217</v>
      </c>
      <c r="B55" s="169" t="s">
        <v>2218</v>
      </c>
      <c r="C55" s="172">
        <v>2100301</v>
      </c>
      <c r="D55" s="172" t="s">
        <v>2227</v>
      </c>
      <c r="E55" s="172" t="s">
        <v>2228</v>
      </c>
      <c r="F55" s="171">
        <f t="shared" si="17"/>
        <v>0</v>
      </c>
      <c r="G55" s="171"/>
      <c r="H55" s="171"/>
      <c r="I55" s="180"/>
      <c r="J55" s="180"/>
      <c r="K55" s="171">
        <v>7.657446</v>
      </c>
      <c r="L55" s="180"/>
      <c r="M55" s="171">
        <f t="shared" si="18"/>
        <v>7.657446</v>
      </c>
      <c r="N55" s="184" t="s">
        <v>565</v>
      </c>
    </row>
    <row r="56" s="1" customFormat="1" ht="26.25" customHeight="1" spans="1:14">
      <c r="A56" s="168" t="s">
        <v>2217</v>
      </c>
      <c r="B56" s="169" t="s">
        <v>2218</v>
      </c>
      <c r="C56" s="172" t="s">
        <v>2229</v>
      </c>
      <c r="D56" s="172" t="s">
        <v>2227</v>
      </c>
      <c r="E56" s="172" t="s">
        <v>2228</v>
      </c>
      <c r="F56" s="171">
        <f t="shared" si="17"/>
        <v>0</v>
      </c>
      <c r="G56" s="171"/>
      <c r="H56" s="171"/>
      <c r="I56" s="180"/>
      <c r="J56" s="180"/>
      <c r="K56" s="171">
        <v>0.342554</v>
      </c>
      <c r="L56" s="180"/>
      <c r="M56" s="171">
        <f t="shared" si="18"/>
        <v>0.342554</v>
      </c>
      <c r="N56" s="184" t="s">
        <v>565</v>
      </c>
    </row>
    <row r="57" s="1" customFormat="1" ht="26.25" customHeight="1" spans="1:14">
      <c r="A57" s="163" t="s">
        <v>2230</v>
      </c>
      <c r="B57" s="164" t="s">
        <v>1419</v>
      </c>
      <c r="C57" s="165"/>
      <c r="D57" s="166"/>
      <c r="E57" s="166"/>
      <c r="F57" s="167">
        <f>SUM(F58:F64)</f>
        <v>2806.046019</v>
      </c>
      <c r="G57" s="167">
        <f t="shared" ref="G57:M57" si="19">SUM(G58:G64)</f>
        <v>2806.046019</v>
      </c>
      <c r="H57" s="167">
        <f t="shared" si="19"/>
        <v>0</v>
      </c>
      <c r="I57" s="167">
        <f t="shared" si="19"/>
        <v>0</v>
      </c>
      <c r="J57" s="167">
        <f t="shared" si="19"/>
        <v>0</v>
      </c>
      <c r="K57" s="167">
        <f t="shared" si="19"/>
        <v>303.450269</v>
      </c>
      <c r="L57" s="167">
        <f t="shared" si="19"/>
        <v>413.450269</v>
      </c>
      <c r="M57" s="167">
        <f t="shared" si="19"/>
        <v>2696.046019</v>
      </c>
      <c r="N57" s="183"/>
    </row>
    <row r="58" s="1" customFormat="1" ht="26.25" customHeight="1" spans="1:14">
      <c r="A58" s="168" t="s">
        <v>2231</v>
      </c>
      <c r="B58" s="169" t="s">
        <v>2232</v>
      </c>
      <c r="C58" s="170" t="s">
        <v>1785</v>
      </c>
      <c r="D58" s="169" t="s">
        <v>1786</v>
      </c>
      <c r="E58" s="169" t="s">
        <v>2233</v>
      </c>
      <c r="F58" s="171">
        <f t="shared" ref="F58:F64" si="20">SUM(G58:H58)</f>
        <v>856.853156</v>
      </c>
      <c r="G58" s="171">
        <v>856.853156</v>
      </c>
      <c r="H58" s="171"/>
      <c r="I58" s="180"/>
      <c r="J58" s="180"/>
      <c r="K58" s="171">
        <v>66.46</v>
      </c>
      <c r="L58" s="180">
        <v>66.46</v>
      </c>
      <c r="M58" s="171">
        <f t="shared" ref="M58:M64" si="21">F58+I58+J58+K58-L58</f>
        <v>856.853156</v>
      </c>
      <c r="N58" s="182" t="s">
        <v>478</v>
      </c>
    </row>
    <row r="59" s="1" customFormat="1" ht="26.25" customHeight="1" spans="1:14">
      <c r="A59" s="168" t="s">
        <v>2231</v>
      </c>
      <c r="B59" s="169" t="s">
        <v>2232</v>
      </c>
      <c r="C59" s="170" t="s">
        <v>1785</v>
      </c>
      <c r="D59" s="169" t="s">
        <v>1786</v>
      </c>
      <c r="E59" s="169" t="s">
        <v>2234</v>
      </c>
      <c r="F59" s="171">
        <f t="shared" si="20"/>
        <v>443.562078</v>
      </c>
      <c r="G59" s="171">
        <v>443.562078</v>
      </c>
      <c r="H59" s="171"/>
      <c r="I59" s="180"/>
      <c r="J59" s="180"/>
      <c r="K59" s="171"/>
      <c r="L59" s="185">
        <v>110</v>
      </c>
      <c r="M59" s="171">
        <f t="shared" si="21"/>
        <v>333.562078</v>
      </c>
      <c r="N59" s="182"/>
    </row>
    <row r="60" s="1" customFormat="1" ht="26.25" customHeight="1" spans="1:14">
      <c r="A60" s="168" t="s">
        <v>2231</v>
      </c>
      <c r="B60" s="169" t="s">
        <v>2232</v>
      </c>
      <c r="C60" s="170" t="s">
        <v>1785</v>
      </c>
      <c r="D60" s="169" t="s">
        <v>1786</v>
      </c>
      <c r="E60" s="169" t="s">
        <v>2235</v>
      </c>
      <c r="F60" s="171">
        <f t="shared" si="20"/>
        <v>63.644569</v>
      </c>
      <c r="G60" s="171">
        <v>63.644569</v>
      </c>
      <c r="H60" s="171"/>
      <c r="I60" s="180"/>
      <c r="J60" s="180"/>
      <c r="K60" s="171"/>
      <c r="L60" s="180"/>
      <c r="M60" s="171">
        <f t="shared" si="21"/>
        <v>63.644569</v>
      </c>
      <c r="N60" s="182"/>
    </row>
    <row r="61" s="1" customFormat="1" ht="26.25" customHeight="1" spans="1:14">
      <c r="A61" s="168" t="s">
        <v>2231</v>
      </c>
      <c r="B61" s="169" t="s">
        <v>2232</v>
      </c>
      <c r="C61" s="170" t="s">
        <v>1785</v>
      </c>
      <c r="D61" s="169" t="s">
        <v>1786</v>
      </c>
      <c r="E61" s="169" t="s">
        <v>2236</v>
      </c>
      <c r="F61" s="171">
        <f t="shared" si="20"/>
        <v>55.034661</v>
      </c>
      <c r="G61" s="171">
        <v>55.034661</v>
      </c>
      <c r="H61" s="171"/>
      <c r="I61" s="180"/>
      <c r="J61" s="180"/>
      <c r="K61" s="171"/>
      <c r="L61" s="180"/>
      <c r="M61" s="171">
        <f t="shared" si="21"/>
        <v>55.034661</v>
      </c>
      <c r="N61" s="182"/>
    </row>
    <row r="62" s="1" customFormat="1" ht="26.25" customHeight="1" spans="1:14">
      <c r="A62" s="168" t="s">
        <v>2231</v>
      </c>
      <c r="B62" s="169" t="s">
        <v>2232</v>
      </c>
      <c r="C62" s="170" t="s">
        <v>1785</v>
      </c>
      <c r="D62" s="169" t="s">
        <v>1786</v>
      </c>
      <c r="E62" s="169" t="s">
        <v>2237</v>
      </c>
      <c r="F62" s="171">
        <f t="shared" si="20"/>
        <v>1222.99246</v>
      </c>
      <c r="G62" s="171">
        <v>1222.99246</v>
      </c>
      <c r="H62" s="171"/>
      <c r="I62" s="180"/>
      <c r="J62" s="180"/>
      <c r="K62" s="171">
        <v>236.990269</v>
      </c>
      <c r="L62" s="180">
        <v>236.990269</v>
      </c>
      <c r="M62" s="171">
        <f t="shared" si="21"/>
        <v>1222.99246</v>
      </c>
      <c r="N62" s="182" t="s">
        <v>478</v>
      </c>
    </row>
    <row r="63" s="1" customFormat="1" ht="26.25" customHeight="1" spans="1:14">
      <c r="A63" s="168" t="s">
        <v>2231</v>
      </c>
      <c r="B63" s="169" t="s">
        <v>2232</v>
      </c>
      <c r="C63" s="170" t="s">
        <v>1785</v>
      </c>
      <c r="D63" s="169" t="s">
        <v>1786</v>
      </c>
      <c r="E63" s="169" t="s">
        <v>2238</v>
      </c>
      <c r="F63" s="171">
        <f t="shared" si="20"/>
        <v>146.759095</v>
      </c>
      <c r="G63" s="171">
        <v>146.759095</v>
      </c>
      <c r="H63" s="171"/>
      <c r="I63" s="180"/>
      <c r="J63" s="180"/>
      <c r="K63" s="171"/>
      <c r="L63" s="180"/>
      <c r="M63" s="171">
        <f t="shared" si="21"/>
        <v>146.759095</v>
      </c>
      <c r="N63" s="182"/>
    </row>
    <row r="64" s="1" customFormat="1" ht="26.25" customHeight="1" spans="1:14">
      <c r="A64" s="168" t="s">
        <v>2231</v>
      </c>
      <c r="B64" s="169" t="s">
        <v>2232</v>
      </c>
      <c r="C64" s="170" t="s">
        <v>1785</v>
      </c>
      <c r="D64" s="169" t="s">
        <v>1786</v>
      </c>
      <c r="E64" s="169" t="s">
        <v>2239</v>
      </c>
      <c r="F64" s="171">
        <f t="shared" si="20"/>
        <v>17.2</v>
      </c>
      <c r="G64" s="171">
        <v>17.2</v>
      </c>
      <c r="H64" s="171"/>
      <c r="I64" s="180"/>
      <c r="J64" s="180"/>
      <c r="K64" s="171"/>
      <c r="L64" s="180"/>
      <c r="M64" s="171">
        <f t="shared" si="21"/>
        <v>17.2</v>
      </c>
      <c r="N64" s="182"/>
    </row>
    <row r="65" s="1" customFormat="1" ht="26.25" customHeight="1" spans="1:14">
      <c r="A65" s="163" t="s">
        <v>2240</v>
      </c>
      <c r="B65" s="164" t="s">
        <v>1420</v>
      </c>
      <c r="C65" s="165"/>
      <c r="D65" s="166"/>
      <c r="E65" s="166"/>
      <c r="F65" s="167">
        <f>SUM(F66:F72)</f>
        <v>371.619977</v>
      </c>
      <c r="G65" s="167">
        <f t="shared" ref="G65:M65" si="22">SUM(G66:G72)</f>
        <v>371.619977</v>
      </c>
      <c r="H65" s="167">
        <f t="shared" si="22"/>
        <v>0</v>
      </c>
      <c r="I65" s="167">
        <f t="shared" si="22"/>
        <v>0</v>
      </c>
      <c r="J65" s="167">
        <f t="shared" si="22"/>
        <v>0</v>
      </c>
      <c r="K65" s="167">
        <f t="shared" si="22"/>
        <v>47.333431</v>
      </c>
      <c r="L65" s="167">
        <f t="shared" si="22"/>
        <v>61.333431</v>
      </c>
      <c r="M65" s="167">
        <f t="shared" si="22"/>
        <v>357.619977</v>
      </c>
      <c r="N65" s="183"/>
    </row>
    <row r="66" s="1" customFormat="1" ht="26.25" customHeight="1" spans="1:14">
      <c r="A66" s="168" t="s">
        <v>2241</v>
      </c>
      <c r="B66" s="169" t="s">
        <v>2242</v>
      </c>
      <c r="C66" s="170" t="s">
        <v>1857</v>
      </c>
      <c r="D66" s="169" t="s">
        <v>1858</v>
      </c>
      <c r="E66" s="169" t="s">
        <v>2243</v>
      </c>
      <c r="F66" s="171">
        <f t="shared" ref="F66:F72" si="23">SUM(G66:H66)</f>
        <v>13.130899</v>
      </c>
      <c r="G66" s="171">
        <v>13.130899</v>
      </c>
      <c r="H66" s="171"/>
      <c r="I66" s="180"/>
      <c r="J66" s="180"/>
      <c r="K66" s="171"/>
      <c r="L66" s="180"/>
      <c r="M66" s="171">
        <f t="shared" ref="M66:M72" si="24">F66+I66+J66+K66-L66</f>
        <v>13.130899</v>
      </c>
      <c r="N66" s="182"/>
    </row>
    <row r="67" s="1" customFormat="1" ht="26.25" customHeight="1" spans="1:14">
      <c r="A67" s="168" t="s">
        <v>2241</v>
      </c>
      <c r="B67" s="169" t="s">
        <v>2242</v>
      </c>
      <c r="C67" s="170" t="s">
        <v>1857</v>
      </c>
      <c r="D67" s="169" t="s">
        <v>1858</v>
      </c>
      <c r="E67" s="169" t="s">
        <v>2244</v>
      </c>
      <c r="F67" s="171">
        <f t="shared" si="23"/>
        <v>176.6615</v>
      </c>
      <c r="G67" s="171">
        <v>176.6615</v>
      </c>
      <c r="H67" s="171"/>
      <c r="I67" s="180"/>
      <c r="J67" s="180"/>
      <c r="K67" s="171">
        <v>37.013431</v>
      </c>
      <c r="L67" s="180">
        <v>37.013431</v>
      </c>
      <c r="M67" s="171">
        <f t="shared" si="24"/>
        <v>176.6615</v>
      </c>
      <c r="N67" s="182" t="s">
        <v>478</v>
      </c>
    </row>
    <row r="68" s="1" customFormat="1" ht="26.25" customHeight="1" spans="1:14">
      <c r="A68" s="168" t="s">
        <v>2241</v>
      </c>
      <c r="B68" s="169" t="s">
        <v>2242</v>
      </c>
      <c r="C68" s="170" t="s">
        <v>1857</v>
      </c>
      <c r="D68" s="169" t="s">
        <v>1858</v>
      </c>
      <c r="E68" s="169" t="s">
        <v>2245</v>
      </c>
      <c r="F68" s="171">
        <f t="shared" si="23"/>
        <v>85.643764</v>
      </c>
      <c r="G68" s="171">
        <v>85.643764</v>
      </c>
      <c r="H68" s="171"/>
      <c r="I68" s="180"/>
      <c r="J68" s="180"/>
      <c r="K68" s="171">
        <v>10.32</v>
      </c>
      <c r="L68" s="180">
        <v>10.32</v>
      </c>
      <c r="M68" s="171">
        <f t="shared" si="24"/>
        <v>85.643764</v>
      </c>
      <c r="N68" s="182" t="s">
        <v>478</v>
      </c>
    </row>
    <row r="69" s="1" customFormat="1" ht="26.25" customHeight="1" spans="1:14">
      <c r="A69" s="168" t="s">
        <v>2241</v>
      </c>
      <c r="B69" s="169" t="s">
        <v>2242</v>
      </c>
      <c r="C69" s="170" t="s">
        <v>1857</v>
      </c>
      <c r="D69" s="169" t="s">
        <v>1858</v>
      </c>
      <c r="E69" s="169" t="s">
        <v>2246</v>
      </c>
      <c r="F69" s="171">
        <f t="shared" si="23"/>
        <v>2.9</v>
      </c>
      <c r="G69" s="171">
        <v>2.9</v>
      </c>
      <c r="H69" s="171"/>
      <c r="I69" s="180"/>
      <c r="J69" s="180"/>
      <c r="K69" s="171"/>
      <c r="L69" s="180"/>
      <c r="M69" s="171">
        <f t="shared" si="24"/>
        <v>2.9</v>
      </c>
      <c r="N69" s="182"/>
    </row>
    <row r="70" s="1" customFormat="1" ht="26.25" customHeight="1" spans="1:14">
      <c r="A70" s="168" t="s">
        <v>2241</v>
      </c>
      <c r="B70" s="169" t="s">
        <v>2242</v>
      </c>
      <c r="C70" s="170" t="s">
        <v>1857</v>
      </c>
      <c r="D70" s="169" t="s">
        <v>1858</v>
      </c>
      <c r="E70" s="169" t="s">
        <v>2247</v>
      </c>
      <c r="F70" s="171">
        <f t="shared" si="23"/>
        <v>21.19938</v>
      </c>
      <c r="G70" s="171">
        <v>21.19938</v>
      </c>
      <c r="H70" s="171"/>
      <c r="I70" s="180"/>
      <c r="J70" s="180"/>
      <c r="K70" s="171"/>
      <c r="L70" s="180"/>
      <c r="M70" s="171">
        <f t="shared" si="24"/>
        <v>21.19938</v>
      </c>
      <c r="N70" s="182"/>
    </row>
    <row r="71" s="1" customFormat="1" ht="26.25" customHeight="1" spans="1:14">
      <c r="A71" s="168" t="s">
        <v>2241</v>
      </c>
      <c r="B71" s="169" t="s">
        <v>2242</v>
      </c>
      <c r="C71" s="170" t="s">
        <v>1857</v>
      </c>
      <c r="D71" s="169" t="s">
        <v>1858</v>
      </c>
      <c r="E71" s="169" t="s">
        <v>2248</v>
      </c>
      <c r="F71" s="171">
        <f t="shared" si="23"/>
        <v>7.949768</v>
      </c>
      <c r="G71" s="171">
        <v>7.949768</v>
      </c>
      <c r="H71" s="171"/>
      <c r="I71" s="180"/>
      <c r="J71" s="180"/>
      <c r="K71" s="171"/>
      <c r="L71" s="180"/>
      <c r="M71" s="171">
        <f t="shared" si="24"/>
        <v>7.949768</v>
      </c>
      <c r="N71" s="182"/>
    </row>
    <row r="72" s="1" customFormat="1" ht="26.25" customHeight="1" spans="1:14">
      <c r="A72" s="168" t="s">
        <v>2241</v>
      </c>
      <c r="B72" s="169" t="s">
        <v>2242</v>
      </c>
      <c r="C72" s="170" t="s">
        <v>1857</v>
      </c>
      <c r="D72" s="169" t="s">
        <v>1858</v>
      </c>
      <c r="E72" s="169" t="s">
        <v>2249</v>
      </c>
      <c r="F72" s="171">
        <f t="shared" si="23"/>
        <v>64.134666</v>
      </c>
      <c r="G72" s="171">
        <v>64.134666</v>
      </c>
      <c r="H72" s="171"/>
      <c r="I72" s="180"/>
      <c r="J72" s="180"/>
      <c r="K72" s="171"/>
      <c r="L72" s="185">
        <v>14</v>
      </c>
      <c r="M72" s="171">
        <f t="shared" si="24"/>
        <v>50.134666</v>
      </c>
      <c r="N72" s="182"/>
    </row>
    <row r="73" s="1" customFormat="1" ht="26.25" customHeight="1" spans="1:14">
      <c r="A73" s="163" t="s">
        <v>2250</v>
      </c>
      <c r="B73" s="164" t="s">
        <v>1421</v>
      </c>
      <c r="C73" s="165"/>
      <c r="D73" s="166"/>
      <c r="E73" s="166"/>
      <c r="F73" s="167">
        <f>SUM(F74:F80)</f>
        <v>1886.213034</v>
      </c>
      <c r="G73" s="167">
        <f t="shared" ref="G73:M73" si="25">SUM(G74:G80)</f>
        <v>1886.213034</v>
      </c>
      <c r="H73" s="167">
        <f t="shared" si="25"/>
        <v>0</v>
      </c>
      <c r="I73" s="167">
        <f t="shared" si="25"/>
        <v>0</v>
      </c>
      <c r="J73" s="167">
        <f t="shared" si="25"/>
        <v>0</v>
      </c>
      <c r="K73" s="167">
        <f t="shared" si="25"/>
        <v>219.816167</v>
      </c>
      <c r="L73" s="167">
        <f t="shared" si="25"/>
        <v>342.816167</v>
      </c>
      <c r="M73" s="167">
        <f t="shared" si="25"/>
        <v>1763.213034</v>
      </c>
      <c r="N73" s="183"/>
    </row>
    <row r="74" s="1" customFormat="1" ht="26.25" customHeight="1" spans="1:14">
      <c r="A74" s="168" t="s">
        <v>2251</v>
      </c>
      <c r="B74" s="169" t="s">
        <v>2252</v>
      </c>
      <c r="C74" s="170" t="s">
        <v>1857</v>
      </c>
      <c r="D74" s="169" t="s">
        <v>1858</v>
      </c>
      <c r="E74" s="169" t="s">
        <v>2253</v>
      </c>
      <c r="F74" s="171">
        <f t="shared" ref="F74:F80" si="26">SUM(G74:H74)</f>
        <v>412.208108</v>
      </c>
      <c r="G74" s="171">
        <v>412.208108</v>
      </c>
      <c r="H74" s="171"/>
      <c r="I74" s="180"/>
      <c r="J74" s="180"/>
      <c r="K74" s="171">
        <v>38.74</v>
      </c>
      <c r="L74" s="180">
        <v>38.74</v>
      </c>
      <c r="M74" s="171">
        <f t="shared" ref="M74:M80" si="27">F74+I74+J74+K74-L74</f>
        <v>412.208108</v>
      </c>
      <c r="N74" s="182" t="s">
        <v>478</v>
      </c>
    </row>
    <row r="75" s="1" customFormat="1" ht="26.25" customHeight="1" spans="1:14">
      <c r="A75" s="168" t="s">
        <v>2251</v>
      </c>
      <c r="B75" s="169" t="s">
        <v>2252</v>
      </c>
      <c r="C75" s="170" t="s">
        <v>1857</v>
      </c>
      <c r="D75" s="169" t="s">
        <v>1858</v>
      </c>
      <c r="E75" s="169" t="s">
        <v>2254</v>
      </c>
      <c r="F75" s="171">
        <f t="shared" si="26"/>
        <v>10.3</v>
      </c>
      <c r="G75" s="171">
        <v>10.3</v>
      </c>
      <c r="H75" s="171"/>
      <c r="I75" s="180"/>
      <c r="J75" s="180"/>
      <c r="K75" s="171"/>
      <c r="L75" s="180"/>
      <c r="M75" s="171">
        <f t="shared" si="27"/>
        <v>10.3</v>
      </c>
      <c r="N75" s="182"/>
    </row>
    <row r="76" s="1" customFormat="1" ht="26.25" customHeight="1" spans="1:14">
      <c r="A76" s="168" t="s">
        <v>2251</v>
      </c>
      <c r="B76" s="169" t="s">
        <v>2252</v>
      </c>
      <c r="C76" s="170" t="s">
        <v>1857</v>
      </c>
      <c r="D76" s="169" t="s">
        <v>1858</v>
      </c>
      <c r="E76" s="169" t="s">
        <v>2255</v>
      </c>
      <c r="F76" s="171">
        <f t="shared" si="26"/>
        <v>111.986544</v>
      </c>
      <c r="G76" s="171">
        <v>111.986544</v>
      </c>
      <c r="H76" s="171"/>
      <c r="I76" s="180"/>
      <c r="J76" s="180"/>
      <c r="K76" s="171"/>
      <c r="L76" s="180"/>
      <c r="M76" s="171">
        <f t="shared" si="27"/>
        <v>111.986544</v>
      </c>
      <c r="N76" s="182"/>
    </row>
    <row r="77" s="1" customFormat="1" ht="26.25" customHeight="1" spans="1:14">
      <c r="A77" s="168" t="s">
        <v>2251</v>
      </c>
      <c r="B77" s="169" t="s">
        <v>2252</v>
      </c>
      <c r="C77" s="170" t="s">
        <v>1857</v>
      </c>
      <c r="D77" s="169" t="s">
        <v>1858</v>
      </c>
      <c r="E77" s="169" t="s">
        <v>2256</v>
      </c>
      <c r="F77" s="171">
        <f t="shared" si="26"/>
        <v>933.2212</v>
      </c>
      <c r="G77" s="171">
        <v>933.2212</v>
      </c>
      <c r="H77" s="171"/>
      <c r="I77" s="180"/>
      <c r="J77" s="180"/>
      <c r="K77" s="171">
        <v>181.076167</v>
      </c>
      <c r="L77" s="180">
        <v>181.076167</v>
      </c>
      <c r="M77" s="171">
        <f t="shared" si="27"/>
        <v>933.2212</v>
      </c>
      <c r="N77" s="182" t="s">
        <v>478</v>
      </c>
    </row>
    <row r="78" s="1" customFormat="1" ht="26.25" customHeight="1" spans="1:14">
      <c r="A78" s="168" t="s">
        <v>2251</v>
      </c>
      <c r="B78" s="169" t="s">
        <v>2252</v>
      </c>
      <c r="C78" s="170" t="s">
        <v>1857</v>
      </c>
      <c r="D78" s="169" t="s">
        <v>1858</v>
      </c>
      <c r="E78" s="169" t="s">
        <v>2257</v>
      </c>
      <c r="F78" s="171">
        <f t="shared" si="26"/>
        <v>38.284684</v>
      </c>
      <c r="G78" s="171">
        <v>38.284684</v>
      </c>
      <c r="H78" s="171"/>
      <c r="I78" s="180"/>
      <c r="J78" s="180"/>
      <c r="K78" s="171"/>
      <c r="L78" s="180"/>
      <c r="M78" s="171">
        <f t="shared" si="27"/>
        <v>38.284684</v>
      </c>
      <c r="N78" s="182"/>
    </row>
    <row r="79" s="1" customFormat="1" ht="26.25" customHeight="1" spans="1:14">
      <c r="A79" s="168" t="s">
        <v>2251</v>
      </c>
      <c r="B79" s="169" t="s">
        <v>2252</v>
      </c>
      <c r="C79" s="170" t="s">
        <v>1857</v>
      </c>
      <c r="D79" s="169" t="s">
        <v>1858</v>
      </c>
      <c r="E79" s="169" t="s">
        <v>2258</v>
      </c>
      <c r="F79" s="171">
        <f t="shared" si="26"/>
        <v>41.994954</v>
      </c>
      <c r="G79" s="171">
        <v>41.994954</v>
      </c>
      <c r="H79" s="171"/>
      <c r="I79" s="180"/>
      <c r="J79" s="180"/>
      <c r="K79" s="171"/>
      <c r="L79" s="180"/>
      <c r="M79" s="171">
        <f t="shared" si="27"/>
        <v>41.994954</v>
      </c>
      <c r="N79" s="182"/>
    </row>
    <row r="80" s="1" customFormat="1" ht="26.25" customHeight="1" spans="1:14">
      <c r="A80" s="168" t="s">
        <v>2251</v>
      </c>
      <c r="B80" s="169" t="s">
        <v>2252</v>
      </c>
      <c r="C80" s="170" t="s">
        <v>1857</v>
      </c>
      <c r="D80" s="169" t="s">
        <v>1858</v>
      </c>
      <c r="E80" s="169" t="s">
        <v>2259</v>
      </c>
      <c r="F80" s="171">
        <f t="shared" si="26"/>
        <v>338.217544</v>
      </c>
      <c r="G80" s="171">
        <v>338.217544</v>
      </c>
      <c r="H80" s="171"/>
      <c r="I80" s="180"/>
      <c r="J80" s="180"/>
      <c r="K80" s="171"/>
      <c r="L80" s="185">
        <v>123</v>
      </c>
      <c r="M80" s="171">
        <f t="shared" si="27"/>
        <v>215.217544</v>
      </c>
      <c r="N80" s="182"/>
    </row>
    <row r="81" s="1" customFormat="1" ht="26.25" customHeight="1" spans="1:14">
      <c r="A81" s="163" t="s">
        <v>2260</v>
      </c>
      <c r="B81" s="164" t="s">
        <v>1422</v>
      </c>
      <c r="C81" s="165"/>
      <c r="D81" s="166"/>
      <c r="E81" s="166"/>
      <c r="F81" s="167">
        <f>SUM(F82:F88)</f>
        <v>2213.784623</v>
      </c>
      <c r="G81" s="167">
        <f t="shared" ref="G81:M81" si="28">SUM(G82:G88)</f>
        <v>2213.784623</v>
      </c>
      <c r="H81" s="167">
        <f t="shared" si="28"/>
        <v>0</v>
      </c>
      <c r="I81" s="167">
        <f t="shared" si="28"/>
        <v>0</v>
      </c>
      <c r="J81" s="167">
        <f t="shared" si="28"/>
        <v>0</v>
      </c>
      <c r="K81" s="167">
        <f t="shared" si="28"/>
        <v>261.594337</v>
      </c>
      <c r="L81" s="167">
        <f t="shared" si="28"/>
        <v>356.594337</v>
      </c>
      <c r="M81" s="167">
        <f t="shared" si="28"/>
        <v>2118.784623</v>
      </c>
      <c r="N81" s="183"/>
    </row>
    <row r="82" s="1" customFormat="1" ht="26.25" customHeight="1" spans="1:14">
      <c r="A82" s="168" t="s">
        <v>2261</v>
      </c>
      <c r="B82" s="169" t="s">
        <v>2262</v>
      </c>
      <c r="C82" s="170" t="s">
        <v>1857</v>
      </c>
      <c r="D82" s="169" t="s">
        <v>1858</v>
      </c>
      <c r="E82" s="169" t="s">
        <v>2263</v>
      </c>
      <c r="F82" s="171">
        <f t="shared" ref="F82:F88" si="29">SUM(G82:H82)</f>
        <v>475.894532</v>
      </c>
      <c r="G82" s="171">
        <v>475.894532</v>
      </c>
      <c r="H82" s="171"/>
      <c r="I82" s="180"/>
      <c r="J82" s="180"/>
      <c r="K82" s="171">
        <v>33.24</v>
      </c>
      <c r="L82" s="180">
        <v>33.24</v>
      </c>
      <c r="M82" s="171">
        <f t="shared" ref="M82:M88" si="30">F82+I82+J82+K82-L82</f>
        <v>475.894532</v>
      </c>
      <c r="N82" s="182" t="s">
        <v>478</v>
      </c>
    </row>
    <row r="83" s="1" customFormat="1" ht="26.25" customHeight="1" spans="1:14">
      <c r="A83" s="168" t="s">
        <v>2261</v>
      </c>
      <c r="B83" s="169" t="s">
        <v>2262</v>
      </c>
      <c r="C83" s="170" t="s">
        <v>1857</v>
      </c>
      <c r="D83" s="169" t="s">
        <v>1858</v>
      </c>
      <c r="E83" s="169" t="s">
        <v>2264</v>
      </c>
      <c r="F83" s="171">
        <f t="shared" si="29"/>
        <v>133.291472</v>
      </c>
      <c r="G83" s="171">
        <v>133.291472</v>
      </c>
      <c r="H83" s="171"/>
      <c r="I83" s="180"/>
      <c r="J83" s="180"/>
      <c r="K83" s="171"/>
      <c r="L83" s="180"/>
      <c r="M83" s="171">
        <f t="shared" si="30"/>
        <v>133.291472</v>
      </c>
      <c r="N83" s="182"/>
    </row>
    <row r="84" s="1" customFormat="1" ht="26.25" customHeight="1" spans="1:14">
      <c r="A84" s="168" t="s">
        <v>2261</v>
      </c>
      <c r="B84" s="169" t="s">
        <v>2262</v>
      </c>
      <c r="C84" s="170" t="s">
        <v>1857</v>
      </c>
      <c r="D84" s="169" t="s">
        <v>1858</v>
      </c>
      <c r="E84" s="169" t="s">
        <v>2265</v>
      </c>
      <c r="F84" s="171">
        <f t="shared" si="29"/>
        <v>402.831655</v>
      </c>
      <c r="G84" s="171">
        <v>402.831655</v>
      </c>
      <c r="H84" s="171"/>
      <c r="I84" s="180"/>
      <c r="J84" s="180"/>
      <c r="K84" s="171"/>
      <c r="L84" s="185">
        <v>95</v>
      </c>
      <c r="M84" s="171">
        <f t="shared" si="30"/>
        <v>307.831655</v>
      </c>
      <c r="N84" s="182"/>
    </row>
    <row r="85" s="1" customFormat="1" ht="26.25" customHeight="1" spans="1:14">
      <c r="A85" s="168" t="s">
        <v>2261</v>
      </c>
      <c r="B85" s="169" t="s">
        <v>2262</v>
      </c>
      <c r="C85" s="170" t="s">
        <v>1857</v>
      </c>
      <c r="D85" s="169" t="s">
        <v>1858</v>
      </c>
      <c r="E85" s="169" t="s">
        <v>2266</v>
      </c>
      <c r="F85" s="171">
        <f t="shared" si="29"/>
        <v>49.984302</v>
      </c>
      <c r="G85" s="171">
        <v>49.984302</v>
      </c>
      <c r="H85" s="171"/>
      <c r="I85" s="180"/>
      <c r="J85" s="180"/>
      <c r="K85" s="171"/>
      <c r="L85" s="180"/>
      <c r="M85" s="171">
        <f t="shared" si="30"/>
        <v>49.984302</v>
      </c>
      <c r="N85" s="182"/>
    </row>
    <row r="86" s="1" customFormat="1" ht="26.25" customHeight="1" spans="1:14">
      <c r="A86" s="168" t="s">
        <v>2261</v>
      </c>
      <c r="B86" s="169" t="s">
        <v>2262</v>
      </c>
      <c r="C86" s="170" t="s">
        <v>1857</v>
      </c>
      <c r="D86" s="169" t="s">
        <v>1858</v>
      </c>
      <c r="E86" s="169" t="s">
        <v>2267</v>
      </c>
      <c r="F86" s="171">
        <f t="shared" si="29"/>
        <v>1110.762268</v>
      </c>
      <c r="G86" s="171">
        <v>1110.762268</v>
      </c>
      <c r="H86" s="171"/>
      <c r="I86" s="180"/>
      <c r="J86" s="180"/>
      <c r="K86" s="171">
        <v>228.354337</v>
      </c>
      <c r="L86" s="180">
        <v>228.354337</v>
      </c>
      <c r="M86" s="171">
        <f t="shared" si="30"/>
        <v>1110.762268</v>
      </c>
      <c r="N86" s="182" t="s">
        <v>478</v>
      </c>
    </row>
    <row r="87" s="1" customFormat="1" ht="26.25" customHeight="1" spans="1:14">
      <c r="A87" s="168" t="s">
        <v>2261</v>
      </c>
      <c r="B87" s="169" t="s">
        <v>2262</v>
      </c>
      <c r="C87" s="170" t="s">
        <v>1857</v>
      </c>
      <c r="D87" s="169" t="s">
        <v>1858</v>
      </c>
      <c r="E87" s="169" t="s">
        <v>2268</v>
      </c>
      <c r="F87" s="171">
        <f t="shared" si="29"/>
        <v>31.920394</v>
      </c>
      <c r="G87" s="171">
        <v>31.920394</v>
      </c>
      <c r="H87" s="171"/>
      <c r="I87" s="180"/>
      <c r="J87" s="180"/>
      <c r="K87" s="171"/>
      <c r="L87" s="180"/>
      <c r="M87" s="171">
        <f t="shared" si="30"/>
        <v>31.920394</v>
      </c>
      <c r="N87" s="181"/>
    </row>
    <row r="88" s="1" customFormat="1" ht="26.25" customHeight="1" spans="1:14">
      <c r="A88" s="168" t="s">
        <v>2261</v>
      </c>
      <c r="B88" s="169" t="s">
        <v>2262</v>
      </c>
      <c r="C88" s="170" t="s">
        <v>1857</v>
      </c>
      <c r="D88" s="169" t="s">
        <v>1858</v>
      </c>
      <c r="E88" s="169" t="s">
        <v>2269</v>
      </c>
      <c r="F88" s="171">
        <f t="shared" si="29"/>
        <v>9.1</v>
      </c>
      <c r="G88" s="171">
        <v>9.1</v>
      </c>
      <c r="H88" s="171"/>
      <c r="I88" s="180"/>
      <c r="J88" s="180"/>
      <c r="K88" s="171"/>
      <c r="L88" s="180"/>
      <c r="M88" s="171">
        <f t="shared" si="30"/>
        <v>9.1</v>
      </c>
      <c r="N88" s="181"/>
    </row>
  </sheetData>
  <sheetProtection formatCells="0" formatColumns="0" formatRows="0" insertRows="0" insertColumns="0" insertHyperlinks="0" deleteColumns="0" deleteRows="0" sort="0" autoFilter="0" pivotTables="0"/>
  <autoFilter ref="A1:XEO88">
    <extLst/>
  </autoFilter>
  <mergeCells count="13">
    <mergeCell ref="A1:N1"/>
    <mergeCell ref="F3:H3"/>
    <mergeCell ref="A3:A4"/>
    <mergeCell ref="B3:B4"/>
    <mergeCell ref="C3:C4"/>
    <mergeCell ref="D3:D4"/>
    <mergeCell ref="E3:E4"/>
    <mergeCell ref="I3:I4"/>
    <mergeCell ref="J3:J4"/>
    <mergeCell ref="K3:K4"/>
    <mergeCell ref="L3:L4"/>
    <mergeCell ref="M3:M4"/>
    <mergeCell ref="N3:N4"/>
  </mergeCells>
  <printOptions horizontalCentered="1"/>
  <pageMargins left="0.393055555555556" right="0.393055555555556" top="0.590277777777778" bottom="0.393055555555556" header="0.393055555555556" footer="0.393055555555556"/>
  <pageSetup paperSize="9" scale="88" fitToHeight="0" orientation="landscape" horizontalDpi="300" verticalDpi="300"/>
  <headerFooter alignWithMargins="0" scaleWithDoc="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933"/>
  <sheetViews>
    <sheetView showZeros="0" zoomScale="90" zoomScaleNormal="90" workbookViewId="0">
      <pane xSplit="7" ySplit="6" topLeftCell="L123" activePane="bottomRight" state="frozen"/>
      <selection/>
      <selection pane="topRight"/>
      <selection pane="bottomLeft"/>
      <selection pane="bottomRight" activeCell="B135" sqref="B135"/>
    </sheetView>
  </sheetViews>
  <sheetFormatPr defaultColWidth="8" defaultRowHeight="15"/>
  <cols>
    <col min="1" max="1" width="6.625" style="100" customWidth="1"/>
    <col min="2" max="2" width="12.625" style="8" customWidth="1"/>
    <col min="3" max="3" width="6.625" style="8" customWidth="1"/>
    <col min="4" max="4" width="10.625" style="8" customWidth="1"/>
    <col min="5" max="5" width="11.125" style="101" customWidth="1"/>
    <col min="6" max="6" width="10.625" style="8" customWidth="1"/>
    <col min="7" max="10" width="11.125" style="102" customWidth="1"/>
    <col min="11" max="21" width="10.125" style="102" customWidth="1"/>
    <col min="22" max="22" width="11.125" style="102" customWidth="1"/>
    <col min="23" max="23" width="12.625" style="103" customWidth="1"/>
    <col min="24" max="24" width="12" style="99"/>
    <col min="25" max="16384" width="8" style="99"/>
  </cols>
  <sheetData>
    <row r="1" s="4" customFormat="1" ht="25.5" spans="1:23">
      <c r="A1" s="104" t="s">
        <v>2270</v>
      </c>
      <c r="B1" s="104"/>
      <c r="C1" s="104"/>
      <c r="D1" s="104"/>
      <c r="E1" s="104"/>
      <c r="F1" s="104"/>
      <c r="G1" s="104"/>
      <c r="H1" s="104"/>
      <c r="I1" s="104"/>
      <c r="J1" s="104"/>
      <c r="K1" s="104"/>
      <c r="L1" s="104"/>
      <c r="M1" s="104"/>
      <c r="N1" s="104"/>
      <c r="O1" s="104"/>
      <c r="P1" s="104"/>
      <c r="Q1" s="104"/>
      <c r="R1" s="104"/>
      <c r="S1" s="104"/>
      <c r="T1" s="104"/>
      <c r="U1" s="104"/>
      <c r="V1" s="104"/>
      <c r="W1" s="104"/>
    </row>
    <row r="2" s="4" customFormat="1" spans="1:23">
      <c r="A2" s="105"/>
      <c r="B2" s="8"/>
      <c r="C2" s="8"/>
      <c r="D2" s="8"/>
      <c r="E2" s="101"/>
      <c r="F2" s="8"/>
      <c r="G2" s="102"/>
      <c r="H2" s="102"/>
      <c r="I2" s="102"/>
      <c r="J2" s="102"/>
      <c r="K2" s="102">
        <f>K6+'[13]项目支出总表（铁）'!K6</f>
        <v>0.72250000000056</v>
      </c>
      <c r="L2" s="102"/>
      <c r="M2" s="102"/>
      <c r="N2" s="102">
        <f>N6+J6</f>
        <v>0</v>
      </c>
      <c r="O2" s="102"/>
      <c r="P2" s="102"/>
      <c r="Q2" s="102">
        <f>26454.72-Q6-'[13]项目支出总表（铁）'!S6</f>
        <v>5884.388266</v>
      </c>
      <c r="R2" s="102"/>
      <c r="S2" s="102"/>
      <c r="T2" s="102"/>
      <c r="U2" s="102"/>
      <c r="V2" s="102"/>
      <c r="W2" s="103"/>
    </row>
    <row r="3" s="97" customFormat="1" ht="18" customHeight="1" spans="1:23">
      <c r="A3" s="106" t="s">
        <v>1426</v>
      </c>
      <c r="B3" s="13" t="s">
        <v>861</v>
      </c>
      <c r="C3" s="14" t="s">
        <v>1427</v>
      </c>
      <c r="D3" s="14" t="s">
        <v>1428</v>
      </c>
      <c r="E3" s="107" t="s">
        <v>2271</v>
      </c>
      <c r="F3" s="13" t="s">
        <v>2272</v>
      </c>
      <c r="G3" s="15" t="s">
        <v>1273</v>
      </c>
      <c r="H3" s="15"/>
      <c r="I3" s="15"/>
      <c r="J3" s="15"/>
      <c r="K3" s="15" t="s">
        <v>854</v>
      </c>
      <c r="L3" s="15" t="s">
        <v>855</v>
      </c>
      <c r="M3" s="15" t="s">
        <v>856</v>
      </c>
      <c r="N3" s="15"/>
      <c r="O3" s="15"/>
      <c r="P3" s="15"/>
      <c r="Q3" s="15" t="s">
        <v>857</v>
      </c>
      <c r="R3" s="15"/>
      <c r="S3" s="15"/>
      <c r="T3" s="15"/>
      <c r="U3" s="15" t="s">
        <v>858</v>
      </c>
      <c r="V3" s="15" t="s">
        <v>8</v>
      </c>
      <c r="W3" s="15" t="s">
        <v>1431</v>
      </c>
    </row>
    <row r="4" s="97" customFormat="1" ht="60" customHeight="1" spans="1:23">
      <c r="A4" s="108"/>
      <c r="B4" s="16"/>
      <c r="C4" s="17"/>
      <c r="D4" s="17"/>
      <c r="E4" s="25"/>
      <c r="F4" s="16"/>
      <c r="G4" s="15" t="s">
        <v>390</v>
      </c>
      <c r="H4" s="15" t="s">
        <v>2273</v>
      </c>
      <c r="I4" s="15" t="s">
        <v>1433</v>
      </c>
      <c r="J4" s="15" t="s">
        <v>1430</v>
      </c>
      <c r="K4" s="15"/>
      <c r="L4" s="15"/>
      <c r="M4" s="15" t="s">
        <v>8</v>
      </c>
      <c r="N4" s="15" t="s">
        <v>2274</v>
      </c>
      <c r="O4" s="15" t="s">
        <v>2275</v>
      </c>
      <c r="P4" s="15" t="s">
        <v>2276</v>
      </c>
      <c r="Q4" s="15" t="s">
        <v>390</v>
      </c>
      <c r="R4" s="15" t="s">
        <v>2273</v>
      </c>
      <c r="S4" s="15" t="s">
        <v>1430</v>
      </c>
      <c r="T4" s="15" t="s">
        <v>2276</v>
      </c>
      <c r="U4" s="15"/>
      <c r="V4" s="15"/>
      <c r="W4" s="15"/>
    </row>
    <row r="5" s="4" customFormat="1" ht="26.25" customHeight="1" spans="1:23">
      <c r="A5" s="109"/>
      <c r="B5" s="18"/>
      <c r="C5" s="19"/>
      <c r="D5" s="19"/>
      <c r="E5" s="110"/>
      <c r="F5" s="18"/>
      <c r="G5" s="18"/>
      <c r="H5" s="18"/>
      <c r="I5" s="18"/>
      <c r="J5" s="18"/>
      <c r="K5" s="18"/>
      <c r="L5" s="18"/>
      <c r="M5" s="53"/>
      <c r="N5" s="53"/>
      <c r="O5" s="53"/>
      <c r="P5" s="53"/>
      <c r="Q5" s="63"/>
      <c r="R5" s="63"/>
      <c r="S5" s="63"/>
      <c r="T5" s="63"/>
      <c r="U5" s="18"/>
      <c r="V5" s="18"/>
      <c r="W5" s="64"/>
    </row>
    <row r="6" s="4" customFormat="1" ht="26.25" customHeight="1" spans="1:23">
      <c r="A6" s="111"/>
      <c r="B6" s="26"/>
      <c r="C6" s="112"/>
      <c r="D6" s="113" t="s">
        <v>8</v>
      </c>
      <c r="E6" s="26"/>
      <c r="F6" s="114">
        <f>H6+I6+J6-155269.91642</f>
        <v>0</v>
      </c>
      <c r="G6" s="22">
        <f t="shared" ref="G6:V6" si="0">G7+G28+G43+G52+G75+G81+G94+G102+G105+G115+G124+G133+G139+G151+G154+G158+G167+G209+G234+G256+G276+G301+G328+G338+G344+G348+G354+G365+G405+G414+G425+G433+G441+G448+G453+G458+G467+G479+G486+G494+G498+G507+G511+G515+G531+G536+G550+G584+G597+G609+G623+G635+G911+G638+G680+G688+G731+G781+G789+G826+G833+G862+G867+G870+G872+G885+G903+G917+G923+G925+G575+G877</f>
        <v>155269.91642</v>
      </c>
      <c r="H6" s="22">
        <f t="shared" si="0"/>
        <v>130155.56642</v>
      </c>
      <c r="I6" s="22">
        <f t="shared" si="0"/>
        <v>14613.38</v>
      </c>
      <c r="J6" s="22">
        <f t="shared" si="0"/>
        <v>10500.97</v>
      </c>
      <c r="K6" s="22">
        <f t="shared" si="0"/>
        <v>-9.73999999999944</v>
      </c>
      <c r="L6" s="22">
        <f t="shared" si="0"/>
        <v>18572.629605</v>
      </c>
      <c r="M6" s="22">
        <f t="shared" si="0"/>
        <v>100300.7031</v>
      </c>
      <c r="N6" s="22">
        <f t="shared" si="0"/>
        <v>-10500.97</v>
      </c>
      <c r="O6" s="22">
        <f t="shared" si="0"/>
        <v>117655.3531</v>
      </c>
      <c r="P6" s="22">
        <f t="shared" si="0"/>
        <v>6853.68</v>
      </c>
      <c r="Q6" s="22">
        <f t="shared" si="0"/>
        <v>20568.331734</v>
      </c>
      <c r="R6" s="22">
        <f t="shared" si="0"/>
        <v>1405.086592</v>
      </c>
      <c r="S6" s="22">
        <f t="shared" si="0"/>
        <v>24837.205142</v>
      </c>
      <c r="T6" s="22">
        <f t="shared" si="0"/>
        <v>5673.96</v>
      </c>
      <c r="U6" s="22">
        <f t="shared" si="0"/>
        <v>34684.478664</v>
      </c>
      <c r="V6" s="22">
        <f t="shared" si="0"/>
        <v>260017.362195</v>
      </c>
      <c r="W6" s="66">
        <f>W7+W28+W43+W52+W75+W81+W94+W102+W105+W115+W124+W133+W139+W151+W154+W158+W167+W209+W234+W256+W276+W301+W328+W338+W344+W348+W354+W365+W405+W414+W425+W433+W441+W448+W453+W458+W467+W479+W486+W494+W498+W507+W511+W515+W531+W536+W550+W584+W597+W609+W623+W635+W911+W638+W680+W688+W731+W781+W789+W826+W833+W862+W867+W870+W872+W885+W903+W917+W923+W925</f>
        <v>0</v>
      </c>
    </row>
    <row r="7" s="4" customFormat="1" ht="26.25" customHeight="1" spans="1:23">
      <c r="A7" s="115" t="s">
        <v>2277</v>
      </c>
      <c r="B7" s="23" t="s">
        <v>2278</v>
      </c>
      <c r="C7" s="116"/>
      <c r="D7" s="116"/>
      <c r="E7" s="26"/>
      <c r="F7" s="26"/>
      <c r="G7" s="27">
        <f t="shared" ref="G7:V7" si="1">SUM(G8:G27)</f>
        <v>2267.08</v>
      </c>
      <c r="H7" s="27">
        <f t="shared" si="1"/>
        <v>2267.08</v>
      </c>
      <c r="I7" s="27">
        <f t="shared" si="1"/>
        <v>0</v>
      </c>
      <c r="J7" s="27">
        <f t="shared" si="1"/>
        <v>0</v>
      </c>
      <c r="K7" s="27">
        <f t="shared" si="1"/>
        <v>14.76</v>
      </c>
      <c r="L7" s="27">
        <f t="shared" si="1"/>
        <v>97.6598</v>
      </c>
      <c r="M7" s="27">
        <f t="shared" si="1"/>
        <v>0</v>
      </c>
      <c r="N7" s="27">
        <f t="shared" si="1"/>
        <v>0</v>
      </c>
      <c r="O7" s="27">
        <f t="shared" si="1"/>
        <v>0</v>
      </c>
      <c r="P7" s="27">
        <f t="shared" si="1"/>
        <v>0</v>
      </c>
      <c r="Q7" s="27">
        <f t="shared" si="1"/>
        <v>100</v>
      </c>
      <c r="R7" s="27">
        <f t="shared" si="1"/>
        <v>0</v>
      </c>
      <c r="S7" s="27">
        <f t="shared" si="1"/>
        <v>100</v>
      </c>
      <c r="T7" s="27">
        <f t="shared" si="1"/>
        <v>0</v>
      </c>
      <c r="U7" s="27">
        <f t="shared" si="1"/>
        <v>4</v>
      </c>
      <c r="V7" s="27">
        <f t="shared" si="1"/>
        <v>2475.4998</v>
      </c>
      <c r="W7" s="67"/>
    </row>
    <row r="8" s="4" customFormat="1" ht="26.25" customHeight="1" spans="1:23">
      <c r="A8" s="117" t="s">
        <v>2277</v>
      </c>
      <c r="B8" s="29" t="s">
        <v>2279</v>
      </c>
      <c r="C8" s="118" t="s">
        <v>2280</v>
      </c>
      <c r="D8" s="119" t="s">
        <v>2083</v>
      </c>
      <c r="E8" s="30" t="s">
        <v>2281</v>
      </c>
      <c r="F8" s="32" t="s">
        <v>2282</v>
      </c>
      <c r="G8" s="33">
        <f t="shared" ref="G8:G26" si="2">SUM(H8:J8)</f>
        <v>40</v>
      </c>
      <c r="H8" s="33">
        <v>40</v>
      </c>
      <c r="I8" s="33"/>
      <c r="J8" s="33"/>
      <c r="K8" s="33"/>
      <c r="L8" s="33"/>
      <c r="M8" s="54">
        <f>N8+O8-P8</f>
        <v>0</v>
      </c>
      <c r="N8" s="54"/>
      <c r="O8" s="54"/>
      <c r="P8" s="54"/>
      <c r="Q8" s="68">
        <f>R8+S8-T8</f>
        <v>0</v>
      </c>
      <c r="R8" s="68"/>
      <c r="S8" s="68"/>
      <c r="T8" s="68"/>
      <c r="U8" s="129"/>
      <c r="V8" s="33">
        <f t="shared" ref="V8:V27" si="3">G8+K8+L8+M8+Q8-U8</f>
        <v>40</v>
      </c>
      <c r="W8" s="130" t="s">
        <v>2283</v>
      </c>
    </row>
    <row r="9" s="4" customFormat="1" ht="26.25" customHeight="1" spans="1:23">
      <c r="A9" s="117" t="s">
        <v>2277</v>
      </c>
      <c r="B9" s="29" t="s">
        <v>2279</v>
      </c>
      <c r="C9" s="118" t="s">
        <v>2280</v>
      </c>
      <c r="D9" s="119" t="s">
        <v>2083</v>
      </c>
      <c r="E9" s="30" t="s">
        <v>2284</v>
      </c>
      <c r="F9" s="32" t="s">
        <v>2285</v>
      </c>
      <c r="G9" s="33">
        <f t="shared" si="2"/>
        <v>1023.96</v>
      </c>
      <c r="H9" s="33">
        <v>1023.96</v>
      </c>
      <c r="I9" s="33"/>
      <c r="J9" s="33"/>
      <c r="K9" s="33"/>
      <c r="L9" s="33"/>
      <c r="M9" s="54">
        <f>N9+O9-P9</f>
        <v>0</v>
      </c>
      <c r="N9" s="54"/>
      <c r="O9" s="54"/>
      <c r="P9" s="54"/>
      <c r="Q9" s="68">
        <f t="shared" ref="Q8:Q26" si="4">R9+S9-T9</f>
        <v>0</v>
      </c>
      <c r="R9" s="68"/>
      <c r="S9" s="68"/>
      <c r="T9" s="68"/>
      <c r="U9" s="129"/>
      <c r="V9" s="33">
        <f t="shared" si="3"/>
        <v>1023.96</v>
      </c>
      <c r="W9" s="130" t="s">
        <v>2283</v>
      </c>
    </row>
    <row r="10" s="4" customFormat="1" ht="26.25" customHeight="1" spans="1:23">
      <c r="A10" s="117" t="s">
        <v>2277</v>
      </c>
      <c r="B10" s="29" t="s">
        <v>2279</v>
      </c>
      <c r="C10" s="118" t="s">
        <v>2280</v>
      </c>
      <c r="D10" s="119" t="s">
        <v>2083</v>
      </c>
      <c r="E10" s="30" t="s">
        <v>2286</v>
      </c>
      <c r="F10" s="32" t="s">
        <v>946</v>
      </c>
      <c r="G10" s="33">
        <f t="shared" si="2"/>
        <v>12</v>
      </c>
      <c r="H10" s="33">
        <v>12</v>
      </c>
      <c r="I10" s="33"/>
      <c r="J10" s="33"/>
      <c r="K10" s="33"/>
      <c r="L10" s="33"/>
      <c r="M10" s="54">
        <f t="shared" ref="M8:M26" si="5">N10+O10-P10</f>
        <v>0</v>
      </c>
      <c r="N10" s="54"/>
      <c r="O10" s="54"/>
      <c r="P10" s="54"/>
      <c r="Q10" s="68">
        <f t="shared" si="4"/>
        <v>0</v>
      </c>
      <c r="R10" s="68"/>
      <c r="S10" s="68"/>
      <c r="T10" s="68"/>
      <c r="U10" s="129"/>
      <c r="V10" s="33">
        <f t="shared" si="3"/>
        <v>12</v>
      </c>
      <c r="W10" s="130" t="s">
        <v>2283</v>
      </c>
    </row>
    <row r="11" s="4" customFormat="1" ht="26.25" customHeight="1" spans="1:23">
      <c r="A11" s="117" t="s">
        <v>2277</v>
      </c>
      <c r="B11" s="29" t="s">
        <v>2279</v>
      </c>
      <c r="C11" s="118" t="s">
        <v>2280</v>
      </c>
      <c r="D11" s="119" t="s">
        <v>2083</v>
      </c>
      <c r="E11" s="30" t="s">
        <v>2287</v>
      </c>
      <c r="F11" s="32" t="s">
        <v>2288</v>
      </c>
      <c r="G11" s="33">
        <f t="shared" si="2"/>
        <v>8</v>
      </c>
      <c r="H11" s="33">
        <v>8</v>
      </c>
      <c r="I11" s="33"/>
      <c r="J11" s="33"/>
      <c r="K11" s="33"/>
      <c r="L11" s="33"/>
      <c r="M11" s="54">
        <f t="shared" si="5"/>
        <v>0</v>
      </c>
      <c r="N11" s="54"/>
      <c r="O11" s="54"/>
      <c r="P11" s="54"/>
      <c r="Q11" s="68">
        <f t="shared" si="4"/>
        <v>0</v>
      </c>
      <c r="R11" s="68"/>
      <c r="S11" s="68"/>
      <c r="T11" s="68"/>
      <c r="U11" s="129"/>
      <c r="V11" s="33">
        <f t="shared" si="3"/>
        <v>8</v>
      </c>
      <c r="W11" s="130" t="s">
        <v>2283</v>
      </c>
    </row>
    <row r="12" s="4" customFormat="1" ht="26.25" customHeight="1" spans="1:23">
      <c r="A12" s="117" t="s">
        <v>2277</v>
      </c>
      <c r="B12" s="29" t="s">
        <v>2279</v>
      </c>
      <c r="C12" s="118" t="s">
        <v>2280</v>
      </c>
      <c r="D12" s="119" t="s">
        <v>2083</v>
      </c>
      <c r="E12" s="30" t="s">
        <v>2289</v>
      </c>
      <c r="F12" s="32" t="s">
        <v>899</v>
      </c>
      <c r="G12" s="33">
        <f t="shared" si="2"/>
        <v>10</v>
      </c>
      <c r="H12" s="33">
        <v>10</v>
      </c>
      <c r="I12" s="33"/>
      <c r="J12" s="33"/>
      <c r="K12" s="33"/>
      <c r="L12" s="33">
        <v>26.6</v>
      </c>
      <c r="M12" s="54">
        <f t="shared" si="5"/>
        <v>0</v>
      </c>
      <c r="N12" s="54"/>
      <c r="O12" s="54"/>
      <c r="P12" s="54"/>
      <c r="Q12" s="68">
        <f t="shared" si="4"/>
        <v>0</v>
      </c>
      <c r="R12" s="68"/>
      <c r="S12" s="68"/>
      <c r="T12" s="68"/>
      <c r="U12" s="129"/>
      <c r="V12" s="33">
        <f t="shared" si="3"/>
        <v>36.6</v>
      </c>
      <c r="W12" s="130" t="s">
        <v>2283</v>
      </c>
    </row>
    <row r="13" s="4" customFormat="1" ht="26.25" customHeight="1" spans="1:23">
      <c r="A13" s="117" t="s">
        <v>2277</v>
      </c>
      <c r="B13" s="29" t="s">
        <v>2279</v>
      </c>
      <c r="C13" s="118" t="s">
        <v>2280</v>
      </c>
      <c r="D13" s="119" t="s">
        <v>2083</v>
      </c>
      <c r="E13" s="30" t="s">
        <v>2290</v>
      </c>
      <c r="F13" s="32" t="s">
        <v>2291</v>
      </c>
      <c r="G13" s="33">
        <f t="shared" si="2"/>
        <v>245</v>
      </c>
      <c r="H13" s="33">
        <v>245</v>
      </c>
      <c r="I13" s="33"/>
      <c r="J13" s="33"/>
      <c r="K13" s="33"/>
      <c r="L13" s="33"/>
      <c r="M13" s="54">
        <f t="shared" si="5"/>
        <v>0</v>
      </c>
      <c r="N13" s="54"/>
      <c r="O13" s="54"/>
      <c r="P13" s="54"/>
      <c r="Q13" s="68">
        <f t="shared" si="4"/>
        <v>0</v>
      </c>
      <c r="R13" s="68"/>
      <c r="S13" s="68"/>
      <c r="T13" s="68"/>
      <c r="U13" s="129"/>
      <c r="V13" s="33">
        <f t="shared" si="3"/>
        <v>245</v>
      </c>
      <c r="W13" s="130" t="s">
        <v>2283</v>
      </c>
    </row>
    <row r="14" s="4" customFormat="1" ht="26.25" customHeight="1" spans="1:23">
      <c r="A14" s="117" t="s">
        <v>2277</v>
      </c>
      <c r="B14" s="29" t="s">
        <v>2279</v>
      </c>
      <c r="C14" s="118" t="s">
        <v>2280</v>
      </c>
      <c r="D14" s="119" t="s">
        <v>2083</v>
      </c>
      <c r="E14" s="30" t="s">
        <v>2292</v>
      </c>
      <c r="F14" s="32" t="s">
        <v>2293</v>
      </c>
      <c r="G14" s="33">
        <f t="shared" si="2"/>
        <v>18.6</v>
      </c>
      <c r="H14" s="33">
        <v>18.6</v>
      </c>
      <c r="I14" s="33"/>
      <c r="J14" s="33"/>
      <c r="K14" s="33"/>
      <c r="L14" s="33"/>
      <c r="M14" s="54">
        <f t="shared" si="5"/>
        <v>0</v>
      </c>
      <c r="N14" s="54"/>
      <c r="O14" s="54"/>
      <c r="P14" s="54"/>
      <c r="Q14" s="68">
        <f t="shared" si="4"/>
        <v>0</v>
      </c>
      <c r="R14" s="68"/>
      <c r="S14" s="68"/>
      <c r="T14" s="68"/>
      <c r="U14" s="129"/>
      <c r="V14" s="33">
        <f t="shared" si="3"/>
        <v>18.6</v>
      </c>
      <c r="W14" s="130" t="s">
        <v>2283</v>
      </c>
    </row>
    <row r="15" s="4" customFormat="1" ht="26.25" customHeight="1" spans="1:23">
      <c r="A15" s="117" t="s">
        <v>2277</v>
      </c>
      <c r="B15" s="29" t="s">
        <v>2279</v>
      </c>
      <c r="C15" s="118" t="s">
        <v>2280</v>
      </c>
      <c r="D15" s="119" t="s">
        <v>2083</v>
      </c>
      <c r="E15" s="30" t="s">
        <v>2294</v>
      </c>
      <c r="F15" s="32" t="s">
        <v>2295</v>
      </c>
      <c r="G15" s="33">
        <f t="shared" si="2"/>
        <v>384.84</v>
      </c>
      <c r="H15" s="33">
        <v>384.84</v>
      </c>
      <c r="I15" s="33"/>
      <c r="J15" s="33"/>
      <c r="K15" s="33"/>
      <c r="L15" s="33"/>
      <c r="M15" s="54">
        <f t="shared" si="5"/>
        <v>0</v>
      </c>
      <c r="N15" s="54"/>
      <c r="O15" s="54"/>
      <c r="P15" s="54"/>
      <c r="Q15" s="68">
        <f t="shared" si="4"/>
        <v>0</v>
      </c>
      <c r="R15" s="68"/>
      <c r="S15" s="68"/>
      <c r="T15" s="68"/>
      <c r="U15" s="129"/>
      <c r="V15" s="33">
        <f t="shared" si="3"/>
        <v>384.84</v>
      </c>
      <c r="W15" s="130" t="s">
        <v>2283</v>
      </c>
    </row>
    <row r="16" s="4" customFormat="1" ht="26.25" customHeight="1" spans="1:23">
      <c r="A16" s="117" t="s">
        <v>2277</v>
      </c>
      <c r="B16" s="29" t="s">
        <v>2279</v>
      </c>
      <c r="C16" s="118" t="s">
        <v>2280</v>
      </c>
      <c r="D16" s="119" t="s">
        <v>2083</v>
      </c>
      <c r="E16" s="30" t="s">
        <v>2296</v>
      </c>
      <c r="F16" s="32" t="s">
        <v>2297</v>
      </c>
      <c r="G16" s="33">
        <f t="shared" si="2"/>
        <v>4</v>
      </c>
      <c r="H16" s="33">
        <v>4</v>
      </c>
      <c r="I16" s="33"/>
      <c r="J16" s="33"/>
      <c r="K16" s="33"/>
      <c r="L16" s="33"/>
      <c r="M16" s="54">
        <f t="shared" si="5"/>
        <v>0</v>
      </c>
      <c r="N16" s="54"/>
      <c r="O16" s="54"/>
      <c r="P16" s="54"/>
      <c r="Q16" s="68">
        <f t="shared" si="4"/>
        <v>0</v>
      </c>
      <c r="R16" s="68"/>
      <c r="S16" s="68"/>
      <c r="T16" s="68"/>
      <c r="U16" s="129"/>
      <c r="V16" s="33">
        <f t="shared" si="3"/>
        <v>4</v>
      </c>
      <c r="W16" s="130" t="s">
        <v>2283</v>
      </c>
    </row>
    <row r="17" s="4" customFormat="1" ht="26.25" customHeight="1" spans="1:23">
      <c r="A17" s="117" t="s">
        <v>2277</v>
      </c>
      <c r="B17" s="29" t="s">
        <v>2279</v>
      </c>
      <c r="C17" s="118" t="s">
        <v>2280</v>
      </c>
      <c r="D17" s="119" t="s">
        <v>2083</v>
      </c>
      <c r="E17" s="30" t="s">
        <v>2298</v>
      </c>
      <c r="F17" s="32" t="s">
        <v>895</v>
      </c>
      <c r="G17" s="33">
        <f t="shared" si="2"/>
        <v>104</v>
      </c>
      <c r="H17" s="33">
        <v>104</v>
      </c>
      <c r="I17" s="33"/>
      <c r="J17" s="33"/>
      <c r="K17" s="55">
        <v>-97.24</v>
      </c>
      <c r="L17" s="128">
        <v>4.14</v>
      </c>
      <c r="M17" s="54">
        <f t="shared" si="5"/>
        <v>0</v>
      </c>
      <c r="N17" s="54"/>
      <c r="O17" s="54"/>
      <c r="P17" s="54"/>
      <c r="Q17" s="68">
        <f t="shared" si="4"/>
        <v>0</v>
      </c>
      <c r="R17" s="68"/>
      <c r="S17" s="68"/>
      <c r="T17" s="68"/>
      <c r="U17" s="129"/>
      <c r="V17" s="33">
        <f t="shared" si="3"/>
        <v>10.9</v>
      </c>
      <c r="W17" s="130" t="s">
        <v>2283</v>
      </c>
    </row>
    <row r="18" s="4" customFormat="1" ht="26.25" customHeight="1" spans="1:23">
      <c r="A18" s="117" t="s">
        <v>2277</v>
      </c>
      <c r="B18" s="29" t="s">
        <v>2279</v>
      </c>
      <c r="C18" s="118" t="s">
        <v>2280</v>
      </c>
      <c r="D18" s="119" t="s">
        <v>2083</v>
      </c>
      <c r="E18" s="30" t="s">
        <v>2299</v>
      </c>
      <c r="F18" s="32" t="s">
        <v>2300</v>
      </c>
      <c r="G18" s="33">
        <f t="shared" si="2"/>
        <v>8</v>
      </c>
      <c r="H18" s="33">
        <v>8</v>
      </c>
      <c r="I18" s="33"/>
      <c r="J18" s="33"/>
      <c r="K18" s="33"/>
      <c r="L18" s="33"/>
      <c r="M18" s="54">
        <f t="shared" si="5"/>
        <v>0</v>
      </c>
      <c r="N18" s="54"/>
      <c r="O18" s="54"/>
      <c r="P18" s="54"/>
      <c r="Q18" s="68">
        <f t="shared" si="4"/>
        <v>0</v>
      </c>
      <c r="R18" s="68"/>
      <c r="S18" s="68"/>
      <c r="T18" s="68"/>
      <c r="U18" s="129"/>
      <c r="V18" s="33">
        <f t="shared" si="3"/>
        <v>8</v>
      </c>
      <c r="W18" s="130" t="s">
        <v>2283</v>
      </c>
    </row>
    <row r="19" s="4" customFormat="1" ht="26.25" customHeight="1" spans="1:23">
      <c r="A19" s="117" t="s">
        <v>2277</v>
      </c>
      <c r="B19" s="29" t="s">
        <v>2279</v>
      </c>
      <c r="C19" s="118" t="s">
        <v>2280</v>
      </c>
      <c r="D19" s="120" t="s">
        <v>2083</v>
      </c>
      <c r="E19" s="37" t="s">
        <v>2301</v>
      </c>
      <c r="F19" s="32" t="s">
        <v>956</v>
      </c>
      <c r="G19" s="33">
        <f t="shared" si="2"/>
        <v>79.68</v>
      </c>
      <c r="H19" s="33">
        <v>79.68</v>
      </c>
      <c r="I19" s="33"/>
      <c r="J19" s="33"/>
      <c r="K19" s="33"/>
      <c r="L19" s="33"/>
      <c r="M19" s="54">
        <f t="shared" si="5"/>
        <v>0</v>
      </c>
      <c r="N19" s="54"/>
      <c r="O19" s="54"/>
      <c r="P19" s="54"/>
      <c r="Q19" s="68">
        <f t="shared" si="4"/>
        <v>0</v>
      </c>
      <c r="R19" s="68"/>
      <c r="S19" s="68"/>
      <c r="T19" s="68"/>
      <c r="U19" s="129"/>
      <c r="V19" s="70">
        <f t="shared" si="3"/>
        <v>79.68</v>
      </c>
      <c r="W19" s="130" t="s">
        <v>2283</v>
      </c>
    </row>
    <row r="20" s="4" customFormat="1" ht="26.25" customHeight="1" spans="1:23">
      <c r="A20" s="117" t="s">
        <v>2277</v>
      </c>
      <c r="B20" s="29" t="s">
        <v>2279</v>
      </c>
      <c r="C20" s="118" t="s">
        <v>2280</v>
      </c>
      <c r="D20" s="119" t="s">
        <v>2083</v>
      </c>
      <c r="E20" s="30" t="s">
        <v>2302</v>
      </c>
      <c r="F20" s="118" t="s">
        <v>2303</v>
      </c>
      <c r="G20" s="33">
        <f t="shared" si="2"/>
        <v>25</v>
      </c>
      <c r="H20" s="33">
        <v>25</v>
      </c>
      <c r="I20" s="33"/>
      <c r="J20" s="33"/>
      <c r="K20" s="33"/>
      <c r="L20" s="33"/>
      <c r="M20" s="54">
        <f t="shared" si="5"/>
        <v>0</v>
      </c>
      <c r="N20" s="54"/>
      <c r="O20" s="54"/>
      <c r="P20" s="54"/>
      <c r="Q20" s="68">
        <f t="shared" si="4"/>
        <v>0</v>
      </c>
      <c r="R20" s="68"/>
      <c r="S20" s="68"/>
      <c r="T20" s="68"/>
      <c r="U20" s="129"/>
      <c r="V20" s="33">
        <f t="shared" si="3"/>
        <v>25</v>
      </c>
      <c r="W20" s="130" t="s">
        <v>2283</v>
      </c>
    </row>
    <row r="21" s="4" customFormat="1" ht="26.25" customHeight="1" spans="1:23">
      <c r="A21" s="117" t="s">
        <v>2277</v>
      </c>
      <c r="B21" s="29" t="s">
        <v>2279</v>
      </c>
      <c r="C21" s="118" t="s">
        <v>2280</v>
      </c>
      <c r="D21" s="119" t="s">
        <v>2083</v>
      </c>
      <c r="E21" s="30" t="s">
        <v>2304</v>
      </c>
      <c r="F21" s="32" t="s">
        <v>2305</v>
      </c>
      <c r="G21" s="33">
        <f t="shared" si="2"/>
        <v>300</v>
      </c>
      <c r="H21" s="33">
        <v>300</v>
      </c>
      <c r="I21" s="33"/>
      <c r="J21" s="33"/>
      <c r="K21" s="33"/>
      <c r="L21" s="33"/>
      <c r="M21" s="54">
        <f t="shared" si="5"/>
        <v>0</v>
      </c>
      <c r="N21" s="54"/>
      <c r="O21" s="54"/>
      <c r="P21" s="54"/>
      <c r="Q21" s="68">
        <f t="shared" si="4"/>
        <v>0</v>
      </c>
      <c r="R21" s="68"/>
      <c r="S21" s="68"/>
      <c r="T21" s="68"/>
      <c r="U21" s="129"/>
      <c r="V21" s="33">
        <f t="shared" si="3"/>
        <v>300</v>
      </c>
      <c r="W21" s="130" t="s">
        <v>2283</v>
      </c>
    </row>
    <row r="22" s="4" customFormat="1" ht="26.25" customHeight="1" spans="1:23">
      <c r="A22" s="117" t="s">
        <v>2277</v>
      </c>
      <c r="B22" s="29" t="s">
        <v>2279</v>
      </c>
      <c r="C22" s="118" t="s">
        <v>2280</v>
      </c>
      <c r="D22" s="29" t="s">
        <v>2083</v>
      </c>
      <c r="E22" s="121" t="s">
        <v>2306</v>
      </c>
      <c r="F22" s="35" t="s">
        <v>896</v>
      </c>
      <c r="G22" s="33">
        <f t="shared" si="2"/>
        <v>0</v>
      </c>
      <c r="H22" s="33"/>
      <c r="I22" s="33"/>
      <c r="J22" s="33"/>
      <c r="K22" s="33"/>
      <c r="L22" s="128">
        <v>27.5</v>
      </c>
      <c r="M22" s="54">
        <f t="shared" si="5"/>
        <v>0</v>
      </c>
      <c r="N22" s="54"/>
      <c r="O22" s="54"/>
      <c r="P22" s="54"/>
      <c r="Q22" s="68">
        <f t="shared" si="4"/>
        <v>0</v>
      </c>
      <c r="R22" s="68"/>
      <c r="S22" s="68"/>
      <c r="T22" s="68"/>
      <c r="U22" s="129"/>
      <c r="V22" s="33">
        <f t="shared" si="3"/>
        <v>27.5</v>
      </c>
      <c r="W22" s="130" t="s">
        <v>2283</v>
      </c>
    </row>
    <row r="23" s="4" customFormat="1" ht="26.25" customHeight="1" spans="1:23">
      <c r="A23" s="117" t="s">
        <v>2277</v>
      </c>
      <c r="B23" s="29" t="s">
        <v>2279</v>
      </c>
      <c r="C23" s="118" t="s">
        <v>2280</v>
      </c>
      <c r="D23" s="29" t="s">
        <v>2083</v>
      </c>
      <c r="E23" s="121"/>
      <c r="F23" s="35" t="s">
        <v>897</v>
      </c>
      <c r="G23" s="33"/>
      <c r="H23" s="33"/>
      <c r="I23" s="33"/>
      <c r="J23" s="33"/>
      <c r="K23" s="33"/>
      <c r="L23" s="128">
        <v>39.4198</v>
      </c>
      <c r="M23" s="54"/>
      <c r="N23" s="54"/>
      <c r="O23" s="54"/>
      <c r="P23" s="54"/>
      <c r="Q23" s="68"/>
      <c r="R23" s="68"/>
      <c r="S23" s="68"/>
      <c r="T23" s="68"/>
      <c r="U23" s="129"/>
      <c r="V23" s="33">
        <f t="shared" si="3"/>
        <v>39.4198</v>
      </c>
      <c r="W23" s="130" t="s">
        <v>2283</v>
      </c>
    </row>
    <row r="24" s="4" customFormat="1" ht="26.25" customHeight="1" spans="1:23">
      <c r="A24" s="117" t="s">
        <v>2277</v>
      </c>
      <c r="B24" s="29" t="s">
        <v>2279</v>
      </c>
      <c r="C24" s="118" t="s">
        <v>2307</v>
      </c>
      <c r="D24" s="119" t="s">
        <v>2308</v>
      </c>
      <c r="E24" s="30" t="s">
        <v>2309</v>
      </c>
      <c r="F24" s="32" t="s">
        <v>901</v>
      </c>
      <c r="G24" s="33">
        <f>SUM(H24:J24)</f>
        <v>4</v>
      </c>
      <c r="H24" s="33">
        <v>4</v>
      </c>
      <c r="I24" s="33"/>
      <c r="J24" s="33"/>
      <c r="K24" s="33"/>
      <c r="L24" s="33"/>
      <c r="M24" s="54">
        <f>N24+O24-P24</f>
        <v>0</v>
      </c>
      <c r="N24" s="54"/>
      <c r="O24" s="54"/>
      <c r="P24" s="54"/>
      <c r="Q24" s="68">
        <f>R24+S24-T24</f>
        <v>0</v>
      </c>
      <c r="R24" s="68"/>
      <c r="S24" s="68"/>
      <c r="T24" s="68"/>
      <c r="U24" s="129">
        <v>4</v>
      </c>
      <c r="V24" s="33">
        <f t="shared" si="3"/>
        <v>0</v>
      </c>
      <c r="W24" s="130" t="s">
        <v>2283</v>
      </c>
    </row>
    <row r="25" s="4" customFormat="1" ht="26.25" customHeight="1" spans="1:23">
      <c r="A25" s="117" t="s">
        <v>2277</v>
      </c>
      <c r="B25" s="29" t="s">
        <v>2279</v>
      </c>
      <c r="C25" s="122">
        <v>2130599</v>
      </c>
      <c r="D25" s="123" t="s">
        <v>2310</v>
      </c>
      <c r="E25" s="121" t="s">
        <v>2311</v>
      </c>
      <c r="F25" s="35" t="s">
        <v>1108</v>
      </c>
      <c r="G25" s="33">
        <f>SUM(H25:J25)</f>
        <v>0</v>
      </c>
      <c r="H25" s="33"/>
      <c r="I25" s="33"/>
      <c r="J25" s="33"/>
      <c r="K25" s="55">
        <v>12</v>
      </c>
      <c r="L25" s="33"/>
      <c r="M25" s="54">
        <f>N25+O25-P25</f>
        <v>0</v>
      </c>
      <c r="N25" s="54"/>
      <c r="O25" s="54"/>
      <c r="P25" s="54"/>
      <c r="Q25" s="68">
        <f>R25+S25-T25</f>
        <v>0</v>
      </c>
      <c r="R25" s="68"/>
      <c r="S25" s="68"/>
      <c r="T25" s="68"/>
      <c r="U25" s="129"/>
      <c r="V25" s="33">
        <f t="shared" si="3"/>
        <v>12</v>
      </c>
      <c r="W25" s="130" t="s">
        <v>2283</v>
      </c>
    </row>
    <row r="26" s="4" customFormat="1" ht="26.25" customHeight="1" spans="1:23">
      <c r="A26" s="117" t="s">
        <v>2277</v>
      </c>
      <c r="B26" s="29" t="s">
        <v>2279</v>
      </c>
      <c r="C26" s="122">
        <v>2130599</v>
      </c>
      <c r="D26" s="123" t="s">
        <v>2310</v>
      </c>
      <c r="E26" s="121" t="s">
        <v>2311</v>
      </c>
      <c r="F26" s="35" t="s">
        <v>1108</v>
      </c>
      <c r="G26" s="33">
        <f>SUM(H26:J26)</f>
        <v>0</v>
      </c>
      <c r="H26" s="33"/>
      <c r="I26" s="33"/>
      <c r="J26" s="33"/>
      <c r="K26" s="55">
        <v>100</v>
      </c>
      <c r="L26" s="33"/>
      <c r="M26" s="54">
        <f>N26+O26-P26</f>
        <v>0</v>
      </c>
      <c r="N26" s="54"/>
      <c r="O26" s="54"/>
      <c r="P26" s="54"/>
      <c r="Q26" s="68">
        <f>R26+S26-T26</f>
        <v>0</v>
      </c>
      <c r="R26" s="68"/>
      <c r="S26" s="68"/>
      <c r="T26" s="68"/>
      <c r="U26" s="129"/>
      <c r="V26" s="33">
        <f t="shared" si="3"/>
        <v>100</v>
      </c>
      <c r="W26" s="130" t="s">
        <v>2283</v>
      </c>
    </row>
    <row r="27" s="4" customFormat="1" ht="26.25" customHeight="1" spans="1:23">
      <c r="A27" s="117" t="s">
        <v>2277</v>
      </c>
      <c r="B27" s="29" t="s">
        <v>2279</v>
      </c>
      <c r="C27" s="124">
        <v>2299999</v>
      </c>
      <c r="D27" s="125" t="s">
        <v>2310</v>
      </c>
      <c r="E27" s="121" t="s">
        <v>2311</v>
      </c>
      <c r="F27" s="38" t="s">
        <v>1108</v>
      </c>
      <c r="G27" s="33">
        <f>SUM(H27:J27)</f>
        <v>0</v>
      </c>
      <c r="H27" s="33"/>
      <c r="I27" s="33"/>
      <c r="J27" s="33"/>
      <c r="K27" s="33"/>
      <c r="L27" s="33"/>
      <c r="M27" s="54">
        <f>N27+O27-P27</f>
        <v>0</v>
      </c>
      <c r="N27" s="54"/>
      <c r="O27" s="54"/>
      <c r="P27" s="54"/>
      <c r="Q27" s="68">
        <f>R27+S27-T27</f>
        <v>100</v>
      </c>
      <c r="R27" s="68"/>
      <c r="S27" s="68">
        <v>100</v>
      </c>
      <c r="T27" s="68"/>
      <c r="U27" s="129"/>
      <c r="V27" s="68">
        <f t="shared" si="3"/>
        <v>100</v>
      </c>
      <c r="W27" s="91" t="s">
        <v>2312</v>
      </c>
    </row>
    <row r="28" s="4" customFormat="1" ht="26.25" customHeight="1" spans="1:23">
      <c r="A28" s="115" t="s">
        <v>2313</v>
      </c>
      <c r="B28" s="23" t="s">
        <v>2314</v>
      </c>
      <c r="C28" s="116"/>
      <c r="D28" s="116"/>
      <c r="E28" s="84"/>
      <c r="F28" s="26"/>
      <c r="G28" s="27">
        <f t="shared" ref="G28:V28" si="6">SUM(G29:G42)</f>
        <v>891.18</v>
      </c>
      <c r="H28" s="27">
        <f t="shared" si="6"/>
        <v>891.18</v>
      </c>
      <c r="I28" s="27">
        <f t="shared" si="6"/>
        <v>0</v>
      </c>
      <c r="J28" s="27">
        <f t="shared" si="6"/>
        <v>0</v>
      </c>
      <c r="K28" s="27">
        <f t="shared" si="6"/>
        <v>6.84</v>
      </c>
      <c r="L28" s="27">
        <f t="shared" si="6"/>
        <v>0</v>
      </c>
      <c r="M28" s="27">
        <f t="shared" si="6"/>
        <v>24</v>
      </c>
      <c r="N28" s="27">
        <f t="shared" si="6"/>
        <v>0</v>
      </c>
      <c r="O28" s="27">
        <f t="shared" si="6"/>
        <v>24</v>
      </c>
      <c r="P28" s="27">
        <f t="shared" si="6"/>
        <v>0</v>
      </c>
      <c r="Q28" s="27">
        <f t="shared" si="6"/>
        <v>21</v>
      </c>
      <c r="R28" s="27">
        <f t="shared" si="6"/>
        <v>0</v>
      </c>
      <c r="S28" s="27">
        <f t="shared" si="6"/>
        <v>21</v>
      </c>
      <c r="T28" s="27">
        <f t="shared" si="6"/>
        <v>0</v>
      </c>
      <c r="U28" s="27">
        <f t="shared" si="6"/>
        <v>80.14</v>
      </c>
      <c r="V28" s="27">
        <f t="shared" si="6"/>
        <v>862.88</v>
      </c>
      <c r="W28" s="67"/>
    </row>
    <row r="29" s="4" customFormat="1" ht="26.25" customHeight="1" spans="1:23">
      <c r="A29" s="117" t="s">
        <v>2313</v>
      </c>
      <c r="B29" s="29" t="s">
        <v>2315</v>
      </c>
      <c r="C29" s="35" t="s">
        <v>2280</v>
      </c>
      <c r="D29" s="47" t="s">
        <v>2083</v>
      </c>
      <c r="E29" s="121" t="s">
        <v>2316</v>
      </c>
      <c r="F29" s="35" t="s">
        <v>2317</v>
      </c>
      <c r="G29" s="33">
        <f t="shared" ref="G29:G42" si="7">SUM(H29:J29)</f>
        <v>0</v>
      </c>
      <c r="H29" s="33"/>
      <c r="I29" s="33"/>
      <c r="J29" s="33"/>
      <c r="K29" s="55">
        <v>6.84</v>
      </c>
      <c r="L29" s="33"/>
      <c r="M29" s="54">
        <f t="shared" ref="M29:M42" si="8">N29+O29-P29</f>
        <v>0</v>
      </c>
      <c r="N29" s="54"/>
      <c r="O29" s="54"/>
      <c r="P29" s="54"/>
      <c r="Q29" s="68">
        <f t="shared" ref="Q29:Q42" si="9">R29+S29-T29</f>
        <v>0</v>
      </c>
      <c r="R29" s="68"/>
      <c r="S29" s="68"/>
      <c r="T29" s="68"/>
      <c r="U29" s="129"/>
      <c r="V29" s="33">
        <f t="shared" ref="V29:V42" si="10">G29+K29+L29+M29+Q29-U29</f>
        <v>6.84</v>
      </c>
      <c r="W29" s="130" t="s">
        <v>2283</v>
      </c>
    </row>
    <row r="30" s="4" customFormat="1" ht="26.25" customHeight="1" spans="1:23">
      <c r="A30" s="117" t="s">
        <v>2313</v>
      </c>
      <c r="B30" s="29" t="s">
        <v>2315</v>
      </c>
      <c r="C30" s="118" t="s">
        <v>2318</v>
      </c>
      <c r="D30" s="119" t="s">
        <v>2083</v>
      </c>
      <c r="E30" s="30" t="s">
        <v>2319</v>
      </c>
      <c r="F30" s="32" t="s">
        <v>906</v>
      </c>
      <c r="G30" s="33">
        <f t="shared" si="7"/>
        <v>20</v>
      </c>
      <c r="H30" s="33">
        <v>20</v>
      </c>
      <c r="I30" s="33"/>
      <c r="J30" s="33"/>
      <c r="K30" s="33"/>
      <c r="L30" s="33"/>
      <c r="M30" s="54">
        <f t="shared" si="8"/>
        <v>0</v>
      </c>
      <c r="N30" s="54"/>
      <c r="O30" s="54"/>
      <c r="P30" s="54"/>
      <c r="Q30" s="68">
        <f t="shared" si="9"/>
        <v>0</v>
      </c>
      <c r="R30" s="68"/>
      <c r="S30" s="68"/>
      <c r="T30" s="68"/>
      <c r="U30" s="129">
        <v>7</v>
      </c>
      <c r="V30" s="33">
        <f t="shared" si="10"/>
        <v>13</v>
      </c>
      <c r="W30" s="130" t="s">
        <v>2283</v>
      </c>
    </row>
    <row r="31" s="4" customFormat="1" ht="26.25" customHeight="1" spans="1:23">
      <c r="A31" s="117" t="s">
        <v>2313</v>
      </c>
      <c r="B31" s="29" t="s">
        <v>2315</v>
      </c>
      <c r="C31" s="118" t="s">
        <v>2318</v>
      </c>
      <c r="D31" s="119" t="s">
        <v>2083</v>
      </c>
      <c r="E31" s="30" t="s">
        <v>2320</v>
      </c>
      <c r="F31" s="32" t="s">
        <v>903</v>
      </c>
      <c r="G31" s="33">
        <f t="shared" si="7"/>
        <v>40</v>
      </c>
      <c r="H31" s="33">
        <v>40</v>
      </c>
      <c r="I31" s="33"/>
      <c r="J31" s="33"/>
      <c r="K31" s="33"/>
      <c r="L31" s="33"/>
      <c r="M31" s="54">
        <f t="shared" si="8"/>
        <v>0</v>
      </c>
      <c r="N31" s="54"/>
      <c r="O31" s="54"/>
      <c r="P31" s="54"/>
      <c r="Q31" s="68">
        <f t="shared" si="9"/>
        <v>0</v>
      </c>
      <c r="R31" s="68"/>
      <c r="S31" s="68"/>
      <c r="T31" s="68"/>
      <c r="U31" s="129">
        <v>6</v>
      </c>
      <c r="V31" s="33">
        <f t="shared" si="10"/>
        <v>34</v>
      </c>
      <c r="W31" s="130" t="s">
        <v>2283</v>
      </c>
    </row>
    <row r="32" s="4" customFormat="1" ht="26.25" customHeight="1" spans="1:23">
      <c r="A32" s="117" t="s">
        <v>2313</v>
      </c>
      <c r="B32" s="29" t="s">
        <v>2315</v>
      </c>
      <c r="C32" s="118" t="s">
        <v>2318</v>
      </c>
      <c r="D32" s="119" t="s">
        <v>2083</v>
      </c>
      <c r="E32" s="30" t="s">
        <v>2321</v>
      </c>
      <c r="F32" s="32" t="s">
        <v>2322</v>
      </c>
      <c r="G32" s="33">
        <f t="shared" si="7"/>
        <v>5</v>
      </c>
      <c r="H32" s="33">
        <v>5</v>
      </c>
      <c r="I32" s="33"/>
      <c r="J32" s="33"/>
      <c r="K32" s="33"/>
      <c r="L32" s="33"/>
      <c r="M32" s="54">
        <f t="shared" si="8"/>
        <v>0</v>
      </c>
      <c r="N32" s="54"/>
      <c r="O32" s="54"/>
      <c r="P32" s="54"/>
      <c r="Q32" s="68">
        <f t="shared" si="9"/>
        <v>0</v>
      </c>
      <c r="R32" s="68"/>
      <c r="S32" s="68"/>
      <c r="T32" s="68"/>
      <c r="U32" s="129"/>
      <c r="V32" s="33">
        <f t="shared" si="10"/>
        <v>5</v>
      </c>
      <c r="W32" s="130" t="s">
        <v>2283</v>
      </c>
    </row>
    <row r="33" s="4" customFormat="1" ht="26.25" customHeight="1" spans="1:23">
      <c r="A33" s="117" t="s">
        <v>2313</v>
      </c>
      <c r="B33" s="29" t="s">
        <v>2315</v>
      </c>
      <c r="C33" s="118" t="s">
        <v>2318</v>
      </c>
      <c r="D33" s="120" t="s">
        <v>2083</v>
      </c>
      <c r="E33" s="37" t="s">
        <v>2323</v>
      </c>
      <c r="F33" s="32" t="s">
        <v>2324</v>
      </c>
      <c r="G33" s="33">
        <f t="shared" si="7"/>
        <v>8.78</v>
      </c>
      <c r="H33" s="33">
        <v>8.78</v>
      </c>
      <c r="I33" s="33"/>
      <c r="J33" s="33"/>
      <c r="K33" s="33"/>
      <c r="L33" s="33"/>
      <c r="M33" s="54">
        <f t="shared" si="8"/>
        <v>0</v>
      </c>
      <c r="N33" s="54"/>
      <c r="O33" s="54"/>
      <c r="P33" s="54"/>
      <c r="Q33" s="68">
        <f t="shared" si="9"/>
        <v>0</v>
      </c>
      <c r="R33" s="68"/>
      <c r="S33" s="68"/>
      <c r="T33" s="68"/>
      <c r="U33" s="129"/>
      <c r="V33" s="70">
        <f t="shared" si="10"/>
        <v>8.78</v>
      </c>
      <c r="W33" s="130" t="s">
        <v>2283</v>
      </c>
    </row>
    <row r="34" s="4" customFormat="1" ht="26.25" customHeight="1" spans="1:23">
      <c r="A34" s="117" t="s">
        <v>2313</v>
      </c>
      <c r="B34" s="29" t="s">
        <v>2315</v>
      </c>
      <c r="C34" s="49" t="s">
        <v>2325</v>
      </c>
      <c r="D34" s="50" t="s">
        <v>2326</v>
      </c>
      <c r="E34" s="126" t="s">
        <v>2320</v>
      </c>
      <c r="F34" s="49" t="s">
        <v>2327</v>
      </c>
      <c r="G34" s="33">
        <f t="shared" si="7"/>
        <v>0</v>
      </c>
      <c r="H34" s="33"/>
      <c r="I34" s="33"/>
      <c r="J34" s="33"/>
      <c r="K34" s="33"/>
      <c r="L34" s="33"/>
      <c r="M34" s="54">
        <f t="shared" si="8"/>
        <v>7</v>
      </c>
      <c r="N34" s="54"/>
      <c r="O34" s="54">
        <v>7</v>
      </c>
      <c r="P34" s="54"/>
      <c r="Q34" s="68">
        <f t="shared" si="9"/>
        <v>0</v>
      </c>
      <c r="R34" s="68"/>
      <c r="S34" s="68"/>
      <c r="T34" s="68"/>
      <c r="U34" s="129"/>
      <c r="V34" s="54">
        <f t="shared" si="10"/>
        <v>7</v>
      </c>
      <c r="W34" s="74" t="s">
        <v>628</v>
      </c>
    </row>
    <row r="35" s="4" customFormat="1" ht="26.25" customHeight="1" spans="1:23">
      <c r="A35" s="117" t="s">
        <v>2313</v>
      </c>
      <c r="B35" s="29" t="s">
        <v>2315</v>
      </c>
      <c r="C35" s="118" t="s">
        <v>2325</v>
      </c>
      <c r="D35" s="29" t="s">
        <v>2326</v>
      </c>
      <c r="E35" s="30" t="s">
        <v>2328</v>
      </c>
      <c r="F35" s="32" t="s">
        <v>907</v>
      </c>
      <c r="G35" s="33">
        <f t="shared" si="7"/>
        <v>15</v>
      </c>
      <c r="H35" s="33">
        <v>15</v>
      </c>
      <c r="I35" s="33"/>
      <c r="J35" s="33"/>
      <c r="K35" s="33"/>
      <c r="L35" s="33"/>
      <c r="M35" s="54">
        <f t="shared" si="8"/>
        <v>0</v>
      </c>
      <c r="N35" s="54"/>
      <c r="O35" s="54"/>
      <c r="P35" s="54"/>
      <c r="Q35" s="68">
        <f t="shared" si="9"/>
        <v>0</v>
      </c>
      <c r="R35" s="68"/>
      <c r="S35" s="68"/>
      <c r="T35" s="68"/>
      <c r="U35" s="129">
        <v>15</v>
      </c>
      <c r="V35" s="33">
        <f t="shared" si="10"/>
        <v>0</v>
      </c>
      <c r="W35" s="130" t="s">
        <v>2283</v>
      </c>
    </row>
    <row r="36" s="4" customFormat="1" ht="26.25" customHeight="1" spans="1:23">
      <c r="A36" s="117" t="s">
        <v>2313</v>
      </c>
      <c r="B36" s="29" t="s">
        <v>2315</v>
      </c>
      <c r="C36" s="118" t="s">
        <v>2325</v>
      </c>
      <c r="D36" s="119" t="s">
        <v>2326</v>
      </c>
      <c r="E36" s="37" t="s">
        <v>2329</v>
      </c>
      <c r="F36" s="32" t="s">
        <v>904</v>
      </c>
      <c r="G36" s="33">
        <f t="shared" si="7"/>
        <v>32.4</v>
      </c>
      <c r="H36" s="33">
        <v>32.4</v>
      </c>
      <c r="I36" s="33"/>
      <c r="J36" s="33"/>
      <c r="K36" s="33"/>
      <c r="L36" s="33"/>
      <c r="M36" s="54">
        <f t="shared" si="8"/>
        <v>0</v>
      </c>
      <c r="N36" s="54"/>
      <c r="O36" s="54"/>
      <c r="P36" s="54"/>
      <c r="Q36" s="68">
        <f t="shared" si="9"/>
        <v>0</v>
      </c>
      <c r="R36" s="68"/>
      <c r="S36" s="68"/>
      <c r="T36" s="68"/>
      <c r="U36" s="129">
        <v>12.06</v>
      </c>
      <c r="V36" s="33">
        <f t="shared" si="10"/>
        <v>20.34</v>
      </c>
      <c r="W36" s="130" t="s">
        <v>2283</v>
      </c>
    </row>
    <row r="37" s="4" customFormat="1" ht="26.25" customHeight="1" spans="1:23">
      <c r="A37" s="117" t="s">
        <v>2313</v>
      </c>
      <c r="B37" s="29" t="s">
        <v>2315</v>
      </c>
      <c r="C37" s="118" t="s">
        <v>2325</v>
      </c>
      <c r="D37" s="29" t="s">
        <v>2326</v>
      </c>
      <c r="E37" s="30" t="s">
        <v>2330</v>
      </c>
      <c r="F37" s="32" t="s">
        <v>2331</v>
      </c>
      <c r="G37" s="33">
        <f t="shared" si="7"/>
        <v>150</v>
      </c>
      <c r="H37" s="33">
        <v>150</v>
      </c>
      <c r="I37" s="33"/>
      <c r="J37" s="33"/>
      <c r="K37" s="33">
        <v>10</v>
      </c>
      <c r="L37" s="33"/>
      <c r="M37" s="54">
        <f t="shared" si="8"/>
        <v>0</v>
      </c>
      <c r="N37" s="54"/>
      <c r="O37" s="54"/>
      <c r="P37" s="54"/>
      <c r="Q37" s="68">
        <f t="shared" si="9"/>
        <v>0</v>
      </c>
      <c r="R37" s="68"/>
      <c r="S37" s="68"/>
      <c r="T37" s="68"/>
      <c r="U37" s="129"/>
      <c r="V37" s="33">
        <f t="shared" si="10"/>
        <v>160</v>
      </c>
      <c r="W37" s="130" t="s">
        <v>2283</v>
      </c>
    </row>
    <row r="38" s="4" customFormat="1" ht="26.25" customHeight="1" spans="1:23">
      <c r="A38" s="117" t="s">
        <v>2313</v>
      </c>
      <c r="B38" s="29" t="s">
        <v>2315</v>
      </c>
      <c r="C38" s="118" t="s">
        <v>2325</v>
      </c>
      <c r="D38" s="82" t="s">
        <v>2326</v>
      </c>
      <c r="E38" s="37" t="s">
        <v>2332</v>
      </c>
      <c r="F38" s="32" t="s">
        <v>2333</v>
      </c>
      <c r="G38" s="33">
        <f t="shared" si="7"/>
        <v>0</v>
      </c>
      <c r="H38" s="33"/>
      <c r="I38" s="33"/>
      <c r="J38" s="33"/>
      <c r="K38" s="33"/>
      <c r="L38" s="33"/>
      <c r="M38" s="54">
        <f t="shared" si="8"/>
        <v>17</v>
      </c>
      <c r="N38" s="54"/>
      <c r="O38" s="54">
        <v>17</v>
      </c>
      <c r="P38" s="54"/>
      <c r="Q38" s="68">
        <f t="shared" si="9"/>
        <v>0</v>
      </c>
      <c r="R38" s="68"/>
      <c r="S38" s="68"/>
      <c r="T38" s="68"/>
      <c r="U38" s="129"/>
      <c r="V38" s="54">
        <f t="shared" si="10"/>
        <v>17</v>
      </c>
      <c r="W38" s="92" t="s">
        <v>494</v>
      </c>
    </row>
    <row r="39" s="4" customFormat="1" ht="26.25" customHeight="1" spans="1:23">
      <c r="A39" s="117" t="s">
        <v>2313</v>
      </c>
      <c r="B39" s="29" t="s">
        <v>2315</v>
      </c>
      <c r="C39" s="118" t="s">
        <v>2334</v>
      </c>
      <c r="D39" s="119" t="s">
        <v>2335</v>
      </c>
      <c r="E39" s="30" t="s">
        <v>2336</v>
      </c>
      <c r="F39" s="32" t="s">
        <v>905</v>
      </c>
      <c r="G39" s="33">
        <f t="shared" si="7"/>
        <v>430</v>
      </c>
      <c r="H39" s="33">
        <v>430</v>
      </c>
      <c r="I39" s="33"/>
      <c r="J39" s="33"/>
      <c r="K39" s="33"/>
      <c r="L39" s="33"/>
      <c r="M39" s="54">
        <f t="shared" si="8"/>
        <v>0</v>
      </c>
      <c r="N39" s="54"/>
      <c r="O39" s="54"/>
      <c r="P39" s="54"/>
      <c r="Q39" s="68">
        <f t="shared" si="9"/>
        <v>0</v>
      </c>
      <c r="R39" s="68"/>
      <c r="S39" s="68"/>
      <c r="T39" s="68"/>
      <c r="U39" s="129">
        <v>20</v>
      </c>
      <c r="V39" s="33">
        <f t="shared" si="10"/>
        <v>410</v>
      </c>
      <c r="W39" s="130" t="s">
        <v>2283</v>
      </c>
    </row>
    <row r="40" s="4" customFormat="1" ht="26.25" customHeight="1" spans="1:23">
      <c r="A40" s="117" t="s">
        <v>2313</v>
      </c>
      <c r="B40" s="29" t="s">
        <v>2315</v>
      </c>
      <c r="C40" s="35" t="s">
        <v>2337</v>
      </c>
      <c r="D40" s="38" t="s">
        <v>2338</v>
      </c>
      <c r="E40" s="127" t="s">
        <v>2339</v>
      </c>
      <c r="F40" s="38" t="s">
        <v>2340</v>
      </c>
      <c r="G40" s="33">
        <f t="shared" si="7"/>
        <v>0</v>
      </c>
      <c r="H40" s="33"/>
      <c r="I40" s="33"/>
      <c r="J40" s="33"/>
      <c r="K40" s="33"/>
      <c r="L40" s="33"/>
      <c r="M40" s="54">
        <f t="shared" si="8"/>
        <v>0</v>
      </c>
      <c r="N40" s="54"/>
      <c r="O40" s="54"/>
      <c r="P40" s="54"/>
      <c r="Q40" s="68">
        <f t="shared" si="9"/>
        <v>21</v>
      </c>
      <c r="R40" s="68"/>
      <c r="S40" s="68">
        <v>21</v>
      </c>
      <c r="T40" s="68"/>
      <c r="U40" s="129"/>
      <c r="V40" s="68">
        <f t="shared" si="10"/>
        <v>21</v>
      </c>
      <c r="W40" s="91" t="s">
        <v>2341</v>
      </c>
    </row>
    <row r="41" s="4" customFormat="1" ht="26.25" customHeight="1" spans="1:23">
      <c r="A41" s="117" t="s">
        <v>2313</v>
      </c>
      <c r="B41" s="29" t="s">
        <v>2315</v>
      </c>
      <c r="C41" s="118" t="s">
        <v>2342</v>
      </c>
      <c r="D41" s="119" t="s">
        <v>2343</v>
      </c>
      <c r="E41" s="37" t="s">
        <v>2344</v>
      </c>
      <c r="F41" s="48" t="s">
        <v>2345</v>
      </c>
      <c r="G41" s="33">
        <f t="shared" si="7"/>
        <v>70</v>
      </c>
      <c r="H41" s="33">
        <v>70</v>
      </c>
      <c r="I41" s="33"/>
      <c r="J41" s="33"/>
      <c r="K41" s="33"/>
      <c r="L41" s="33"/>
      <c r="M41" s="54">
        <f t="shared" si="8"/>
        <v>0</v>
      </c>
      <c r="N41" s="54"/>
      <c r="O41" s="54"/>
      <c r="P41" s="54"/>
      <c r="Q41" s="68">
        <f t="shared" si="9"/>
        <v>0</v>
      </c>
      <c r="R41" s="68"/>
      <c r="S41" s="68"/>
      <c r="T41" s="68"/>
      <c r="U41" s="129">
        <v>9.98</v>
      </c>
      <c r="V41" s="70">
        <f t="shared" si="10"/>
        <v>60.02</v>
      </c>
      <c r="W41" s="130" t="s">
        <v>2283</v>
      </c>
    </row>
    <row r="42" s="4" customFormat="1" ht="26.25" customHeight="1" spans="1:23">
      <c r="A42" s="117" t="s">
        <v>2313</v>
      </c>
      <c r="B42" s="29" t="s">
        <v>2315</v>
      </c>
      <c r="C42" s="118" t="s">
        <v>2342</v>
      </c>
      <c r="D42" s="119" t="s">
        <v>2343</v>
      </c>
      <c r="E42" s="37" t="s">
        <v>2346</v>
      </c>
      <c r="F42" s="77" t="s">
        <v>2347</v>
      </c>
      <c r="G42" s="33">
        <f t="shared" si="7"/>
        <v>120</v>
      </c>
      <c r="H42" s="33">
        <v>120</v>
      </c>
      <c r="I42" s="33"/>
      <c r="J42" s="33"/>
      <c r="K42" s="33">
        <v>-10</v>
      </c>
      <c r="L42" s="33"/>
      <c r="M42" s="54">
        <f t="shared" si="8"/>
        <v>0</v>
      </c>
      <c r="N42" s="54"/>
      <c r="O42" s="54"/>
      <c r="P42" s="54"/>
      <c r="Q42" s="68">
        <f t="shared" si="9"/>
        <v>0</v>
      </c>
      <c r="R42" s="68"/>
      <c r="S42" s="68"/>
      <c r="T42" s="68"/>
      <c r="U42" s="129">
        <v>10.1</v>
      </c>
      <c r="V42" s="70">
        <f t="shared" si="10"/>
        <v>99.9</v>
      </c>
      <c r="W42" s="130" t="s">
        <v>2283</v>
      </c>
    </row>
    <row r="43" s="4" customFormat="1" ht="26.25" customHeight="1" spans="1:23">
      <c r="A43" s="115" t="s">
        <v>2348</v>
      </c>
      <c r="B43" s="23" t="s">
        <v>1280</v>
      </c>
      <c r="C43" s="116"/>
      <c r="D43" s="116"/>
      <c r="E43" s="84"/>
      <c r="F43" s="26"/>
      <c r="G43" s="27">
        <f t="shared" ref="G43:V43" si="11">SUM(G44:G51)</f>
        <v>523.75</v>
      </c>
      <c r="H43" s="27">
        <f t="shared" si="11"/>
        <v>73.75</v>
      </c>
      <c r="I43" s="27">
        <f t="shared" si="11"/>
        <v>450</v>
      </c>
      <c r="J43" s="27">
        <f t="shared" si="11"/>
        <v>0</v>
      </c>
      <c r="K43" s="27">
        <f t="shared" si="11"/>
        <v>4.88</v>
      </c>
      <c r="L43" s="27">
        <f t="shared" si="11"/>
        <v>0</v>
      </c>
      <c r="M43" s="27">
        <f t="shared" si="11"/>
        <v>20</v>
      </c>
      <c r="N43" s="27">
        <f t="shared" si="11"/>
        <v>0</v>
      </c>
      <c r="O43" s="27">
        <f t="shared" si="11"/>
        <v>20</v>
      </c>
      <c r="P43" s="27">
        <f t="shared" si="11"/>
        <v>0</v>
      </c>
      <c r="Q43" s="27">
        <f t="shared" si="11"/>
        <v>0</v>
      </c>
      <c r="R43" s="27">
        <f t="shared" si="11"/>
        <v>0</v>
      </c>
      <c r="S43" s="27">
        <f t="shared" si="11"/>
        <v>0</v>
      </c>
      <c r="T43" s="27">
        <f t="shared" si="11"/>
        <v>0</v>
      </c>
      <c r="U43" s="27">
        <f t="shared" si="11"/>
        <v>179.56</v>
      </c>
      <c r="V43" s="27">
        <f t="shared" si="11"/>
        <v>369.07</v>
      </c>
      <c r="W43" s="67"/>
    </row>
    <row r="44" s="4" customFormat="1" ht="26.25" customHeight="1" spans="1:23">
      <c r="A44" s="117" t="s">
        <v>2348</v>
      </c>
      <c r="B44" s="29" t="s">
        <v>1465</v>
      </c>
      <c r="C44" s="118" t="s">
        <v>2349</v>
      </c>
      <c r="D44" s="29" t="s">
        <v>2083</v>
      </c>
      <c r="E44" s="30" t="s">
        <v>2350</v>
      </c>
      <c r="F44" s="32" t="s">
        <v>913</v>
      </c>
      <c r="G44" s="33">
        <f t="shared" ref="G44:G51" si="12">SUM(H44:J44)</f>
        <v>450</v>
      </c>
      <c r="H44" s="33"/>
      <c r="I44" s="33">
        <v>450</v>
      </c>
      <c r="J44" s="33"/>
      <c r="K44" s="33">
        <v>-25</v>
      </c>
      <c r="L44" s="33"/>
      <c r="M44" s="54">
        <f t="shared" ref="M44:M51" si="13">N44+O44-P44</f>
        <v>0</v>
      </c>
      <c r="N44" s="54"/>
      <c r="O44" s="54"/>
      <c r="P44" s="54"/>
      <c r="Q44" s="68">
        <f t="shared" ref="Q44:Q51" si="14">R44+S44-T44</f>
        <v>0</v>
      </c>
      <c r="R44" s="68"/>
      <c r="S44" s="68"/>
      <c r="T44" s="68"/>
      <c r="U44" s="129">
        <v>165</v>
      </c>
      <c r="V44" s="33">
        <f t="shared" ref="V44:V51" si="15">G44+K44+L44+M44+Q44-U44</f>
        <v>260</v>
      </c>
      <c r="W44" s="130" t="s">
        <v>2283</v>
      </c>
    </row>
    <row r="45" s="4" customFormat="1" ht="26.25" customHeight="1" spans="1:23">
      <c r="A45" s="117" t="s">
        <v>2348</v>
      </c>
      <c r="B45" s="29" t="s">
        <v>1465</v>
      </c>
      <c r="C45" s="118" t="s">
        <v>2349</v>
      </c>
      <c r="D45" s="29" t="s">
        <v>2083</v>
      </c>
      <c r="E45" s="30" t="s">
        <v>2350</v>
      </c>
      <c r="F45" s="32" t="s">
        <v>913</v>
      </c>
      <c r="G45" s="33">
        <f t="shared" si="12"/>
        <v>0</v>
      </c>
      <c r="H45" s="33"/>
      <c r="I45" s="33"/>
      <c r="J45" s="33"/>
      <c r="K45" s="33">
        <v>25</v>
      </c>
      <c r="L45" s="33"/>
      <c r="M45" s="54">
        <f t="shared" si="13"/>
        <v>0</v>
      </c>
      <c r="N45" s="54"/>
      <c r="O45" s="54"/>
      <c r="P45" s="54"/>
      <c r="Q45" s="68">
        <f t="shared" si="14"/>
        <v>0</v>
      </c>
      <c r="R45" s="68"/>
      <c r="S45" s="68"/>
      <c r="T45" s="68"/>
      <c r="U45" s="129"/>
      <c r="V45" s="33">
        <f t="shared" si="15"/>
        <v>25</v>
      </c>
      <c r="W45" s="130" t="s">
        <v>2351</v>
      </c>
    </row>
    <row r="46" s="4" customFormat="1" ht="26.25" customHeight="1" spans="1:23">
      <c r="A46" s="117" t="s">
        <v>2348</v>
      </c>
      <c r="B46" s="29" t="s">
        <v>1465</v>
      </c>
      <c r="C46" s="118" t="s">
        <v>2349</v>
      </c>
      <c r="D46" s="119" t="s">
        <v>2083</v>
      </c>
      <c r="E46" s="30" t="s">
        <v>2352</v>
      </c>
      <c r="F46" s="32" t="s">
        <v>912</v>
      </c>
      <c r="G46" s="33">
        <f t="shared" si="12"/>
        <v>18</v>
      </c>
      <c r="H46" s="33">
        <v>18</v>
      </c>
      <c r="I46" s="33"/>
      <c r="J46" s="33"/>
      <c r="K46" s="33"/>
      <c r="L46" s="33"/>
      <c r="M46" s="54">
        <f t="shared" si="13"/>
        <v>0</v>
      </c>
      <c r="N46" s="54"/>
      <c r="O46" s="54"/>
      <c r="P46" s="54"/>
      <c r="Q46" s="68">
        <f t="shared" si="14"/>
        <v>0</v>
      </c>
      <c r="R46" s="68"/>
      <c r="S46" s="68"/>
      <c r="T46" s="68"/>
      <c r="U46" s="129">
        <v>14.56</v>
      </c>
      <c r="V46" s="33">
        <f t="shared" si="15"/>
        <v>3.44</v>
      </c>
      <c r="W46" s="130" t="s">
        <v>2283</v>
      </c>
    </row>
    <row r="47" s="4" customFormat="1" ht="26.25" customHeight="1" spans="1:23">
      <c r="A47" s="117" t="s">
        <v>2348</v>
      </c>
      <c r="B47" s="29" t="s">
        <v>1465</v>
      </c>
      <c r="C47" s="118" t="s">
        <v>2349</v>
      </c>
      <c r="D47" s="120" t="s">
        <v>2083</v>
      </c>
      <c r="E47" s="37" t="s">
        <v>2353</v>
      </c>
      <c r="F47" s="32" t="s">
        <v>956</v>
      </c>
      <c r="G47" s="33">
        <f t="shared" si="12"/>
        <v>8.65</v>
      </c>
      <c r="H47" s="33">
        <v>8.65</v>
      </c>
      <c r="I47" s="33"/>
      <c r="J47" s="33"/>
      <c r="K47" s="33"/>
      <c r="L47" s="33"/>
      <c r="M47" s="54">
        <f t="shared" si="13"/>
        <v>0</v>
      </c>
      <c r="N47" s="54"/>
      <c r="O47" s="54"/>
      <c r="P47" s="54"/>
      <c r="Q47" s="68">
        <f t="shared" si="14"/>
        <v>0</v>
      </c>
      <c r="R47" s="68"/>
      <c r="S47" s="68"/>
      <c r="T47" s="68"/>
      <c r="U47" s="129"/>
      <c r="V47" s="70">
        <f t="shared" si="15"/>
        <v>8.65</v>
      </c>
      <c r="W47" s="130" t="s">
        <v>2283</v>
      </c>
    </row>
    <row r="48" s="4" customFormat="1" ht="26.25" customHeight="1" spans="1:23">
      <c r="A48" s="117" t="s">
        <v>2348</v>
      </c>
      <c r="B48" s="29" t="s">
        <v>1465</v>
      </c>
      <c r="C48" s="118" t="s">
        <v>2349</v>
      </c>
      <c r="D48" s="119" t="s">
        <v>2083</v>
      </c>
      <c r="E48" s="37" t="s">
        <v>2354</v>
      </c>
      <c r="F48" s="32" t="s">
        <v>2355</v>
      </c>
      <c r="G48" s="33">
        <f t="shared" si="12"/>
        <v>29.1</v>
      </c>
      <c r="H48" s="33">
        <v>29.1</v>
      </c>
      <c r="I48" s="33"/>
      <c r="J48" s="33"/>
      <c r="K48" s="33"/>
      <c r="L48" s="33"/>
      <c r="M48" s="54">
        <f t="shared" si="13"/>
        <v>0</v>
      </c>
      <c r="N48" s="54"/>
      <c r="O48" s="54"/>
      <c r="P48" s="54"/>
      <c r="Q48" s="68">
        <f t="shared" si="14"/>
        <v>0</v>
      </c>
      <c r="R48" s="68"/>
      <c r="S48" s="68"/>
      <c r="T48" s="68"/>
      <c r="U48" s="129"/>
      <c r="V48" s="33">
        <f t="shared" si="15"/>
        <v>29.1</v>
      </c>
      <c r="W48" s="130" t="s">
        <v>2283</v>
      </c>
    </row>
    <row r="49" s="4" customFormat="1" ht="26.25" customHeight="1" spans="1:23">
      <c r="A49" s="117" t="s">
        <v>2348</v>
      </c>
      <c r="B49" s="29" t="s">
        <v>1465</v>
      </c>
      <c r="C49" s="118" t="s">
        <v>2349</v>
      </c>
      <c r="D49" s="119" t="s">
        <v>2083</v>
      </c>
      <c r="E49" s="37" t="s">
        <v>2356</v>
      </c>
      <c r="F49" s="32" t="s">
        <v>2357</v>
      </c>
      <c r="G49" s="33">
        <f t="shared" si="12"/>
        <v>18</v>
      </c>
      <c r="H49" s="33">
        <v>18</v>
      </c>
      <c r="I49" s="33"/>
      <c r="J49" s="33"/>
      <c r="K49" s="33"/>
      <c r="L49" s="33"/>
      <c r="M49" s="54">
        <f t="shared" si="13"/>
        <v>0</v>
      </c>
      <c r="N49" s="54"/>
      <c r="O49" s="54"/>
      <c r="P49" s="54"/>
      <c r="Q49" s="68">
        <f t="shared" si="14"/>
        <v>0</v>
      </c>
      <c r="R49" s="68"/>
      <c r="S49" s="68"/>
      <c r="T49" s="68"/>
      <c r="U49" s="129"/>
      <c r="V49" s="33">
        <f t="shared" si="15"/>
        <v>18</v>
      </c>
      <c r="W49" s="130" t="s">
        <v>2283</v>
      </c>
    </row>
    <row r="50" s="4" customFormat="1" ht="26.25" customHeight="1" spans="1:23">
      <c r="A50" s="117" t="s">
        <v>2348</v>
      </c>
      <c r="B50" s="29" t="s">
        <v>1465</v>
      </c>
      <c r="C50" s="35" t="s">
        <v>2349</v>
      </c>
      <c r="D50" s="47" t="s">
        <v>2083</v>
      </c>
      <c r="E50" s="121" t="s">
        <v>2358</v>
      </c>
      <c r="F50" s="35" t="s">
        <v>2317</v>
      </c>
      <c r="G50" s="33">
        <f t="shared" si="12"/>
        <v>0</v>
      </c>
      <c r="H50" s="33"/>
      <c r="I50" s="33"/>
      <c r="J50" s="33"/>
      <c r="K50" s="55">
        <v>4.88</v>
      </c>
      <c r="L50" s="33"/>
      <c r="M50" s="54">
        <f t="shared" si="13"/>
        <v>0</v>
      </c>
      <c r="N50" s="54"/>
      <c r="O50" s="54"/>
      <c r="P50" s="54"/>
      <c r="Q50" s="68">
        <f t="shared" si="14"/>
        <v>0</v>
      </c>
      <c r="R50" s="68"/>
      <c r="S50" s="68"/>
      <c r="T50" s="68"/>
      <c r="U50" s="129"/>
      <c r="V50" s="33">
        <f t="shared" si="15"/>
        <v>4.88</v>
      </c>
      <c r="W50" s="130" t="s">
        <v>2283</v>
      </c>
    </row>
    <row r="51" s="4" customFormat="1" ht="26.25" customHeight="1" spans="1:23">
      <c r="A51" s="117" t="s">
        <v>2348</v>
      </c>
      <c r="B51" s="29" t="s">
        <v>1465</v>
      </c>
      <c r="C51" s="35" t="s">
        <v>2359</v>
      </c>
      <c r="D51" s="76" t="s">
        <v>2360</v>
      </c>
      <c r="E51" s="30" t="s">
        <v>2352</v>
      </c>
      <c r="F51" s="32" t="s">
        <v>912</v>
      </c>
      <c r="G51" s="33">
        <f t="shared" si="12"/>
        <v>0</v>
      </c>
      <c r="H51" s="33"/>
      <c r="I51" s="33"/>
      <c r="J51" s="33"/>
      <c r="K51" s="33"/>
      <c r="L51" s="33"/>
      <c r="M51" s="54">
        <f t="shared" si="13"/>
        <v>20</v>
      </c>
      <c r="N51" s="54"/>
      <c r="O51" s="54">
        <v>20</v>
      </c>
      <c r="P51" s="54"/>
      <c r="Q51" s="68">
        <f t="shared" si="14"/>
        <v>0</v>
      </c>
      <c r="R51" s="68"/>
      <c r="S51" s="68"/>
      <c r="T51" s="68"/>
      <c r="U51" s="129"/>
      <c r="V51" s="54">
        <f t="shared" si="15"/>
        <v>20</v>
      </c>
      <c r="W51" s="92" t="s">
        <v>634</v>
      </c>
    </row>
    <row r="52" s="4" customFormat="1" ht="26.25" customHeight="1" spans="1:23">
      <c r="A52" s="115" t="s">
        <v>2361</v>
      </c>
      <c r="B52" s="23" t="s">
        <v>2362</v>
      </c>
      <c r="C52" s="116"/>
      <c r="D52" s="116"/>
      <c r="E52" s="84"/>
      <c r="F52" s="26"/>
      <c r="G52" s="27">
        <f t="shared" ref="G52:V52" si="16">SUM(G53:G74)</f>
        <v>2847.53</v>
      </c>
      <c r="H52" s="27">
        <f t="shared" si="16"/>
        <v>1442.03</v>
      </c>
      <c r="I52" s="27">
        <f t="shared" si="16"/>
        <v>1405.5</v>
      </c>
      <c r="J52" s="27">
        <f t="shared" si="16"/>
        <v>0</v>
      </c>
      <c r="K52" s="27">
        <f t="shared" si="16"/>
        <v>-5.48</v>
      </c>
      <c r="L52" s="27">
        <f t="shared" si="16"/>
        <v>77</v>
      </c>
      <c r="M52" s="27">
        <f t="shared" si="16"/>
        <v>2</v>
      </c>
      <c r="N52" s="27">
        <f t="shared" si="16"/>
        <v>0</v>
      </c>
      <c r="O52" s="27">
        <f t="shared" si="16"/>
        <v>2</v>
      </c>
      <c r="P52" s="27">
        <f t="shared" si="16"/>
        <v>0</v>
      </c>
      <c r="Q52" s="27">
        <f t="shared" si="16"/>
        <v>22</v>
      </c>
      <c r="R52" s="27">
        <f t="shared" si="16"/>
        <v>0</v>
      </c>
      <c r="S52" s="27">
        <f t="shared" si="16"/>
        <v>22</v>
      </c>
      <c r="T52" s="27">
        <f t="shared" si="16"/>
        <v>0</v>
      </c>
      <c r="U52" s="27">
        <f t="shared" si="16"/>
        <v>287.68</v>
      </c>
      <c r="V52" s="27">
        <f t="shared" si="16"/>
        <v>2655.37</v>
      </c>
      <c r="W52" s="67"/>
    </row>
    <row r="53" s="4" customFormat="1" ht="26.25" customHeight="1" spans="1:23">
      <c r="A53" s="117" t="s">
        <v>2361</v>
      </c>
      <c r="B53" s="29" t="s">
        <v>2363</v>
      </c>
      <c r="C53" s="118" t="s">
        <v>2364</v>
      </c>
      <c r="D53" s="82" t="s">
        <v>2083</v>
      </c>
      <c r="E53" s="121" t="s">
        <v>2365</v>
      </c>
      <c r="F53" s="35" t="s">
        <v>919</v>
      </c>
      <c r="G53" s="33">
        <f t="shared" ref="G53:G74" si="17">SUM(H53:J53)</f>
        <v>0</v>
      </c>
      <c r="H53" s="33"/>
      <c r="I53" s="33"/>
      <c r="J53" s="33"/>
      <c r="K53" s="33"/>
      <c r="L53" s="33"/>
      <c r="M53" s="54">
        <f t="shared" ref="M53:M74" si="18">N53+O53-P53</f>
        <v>2</v>
      </c>
      <c r="N53" s="54"/>
      <c r="O53" s="54">
        <v>2</v>
      </c>
      <c r="P53" s="54"/>
      <c r="Q53" s="68">
        <f t="shared" ref="Q53:Q74" si="19">R53+S53-T53</f>
        <v>0</v>
      </c>
      <c r="R53" s="68"/>
      <c r="S53" s="68"/>
      <c r="T53" s="68"/>
      <c r="U53" s="129"/>
      <c r="V53" s="54">
        <f t="shared" ref="V53:V74" si="20">G53+K53+L53+M53+Q53-U53</f>
        <v>2</v>
      </c>
      <c r="W53" s="92" t="s">
        <v>540</v>
      </c>
    </row>
    <row r="54" s="4" customFormat="1" ht="26.25" customHeight="1" spans="1:23">
      <c r="A54" s="117" t="s">
        <v>2361</v>
      </c>
      <c r="B54" s="29" t="s">
        <v>2363</v>
      </c>
      <c r="C54" s="118" t="s">
        <v>2364</v>
      </c>
      <c r="D54" s="29" t="s">
        <v>2083</v>
      </c>
      <c r="E54" s="30" t="s">
        <v>2366</v>
      </c>
      <c r="F54" s="32" t="s">
        <v>2367</v>
      </c>
      <c r="G54" s="33">
        <f t="shared" si="17"/>
        <v>300</v>
      </c>
      <c r="H54" s="33">
        <v>300</v>
      </c>
      <c r="I54" s="33"/>
      <c r="J54" s="33"/>
      <c r="K54" s="33"/>
      <c r="L54" s="33"/>
      <c r="M54" s="54">
        <f t="shared" si="18"/>
        <v>0</v>
      </c>
      <c r="N54" s="54"/>
      <c r="O54" s="54"/>
      <c r="P54" s="54"/>
      <c r="Q54" s="68">
        <f t="shared" si="19"/>
        <v>0</v>
      </c>
      <c r="R54" s="68"/>
      <c r="S54" s="68"/>
      <c r="T54" s="68"/>
      <c r="U54" s="129"/>
      <c r="V54" s="33">
        <f t="shared" si="20"/>
        <v>300</v>
      </c>
      <c r="W54" s="130" t="s">
        <v>2283</v>
      </c>
    </row>
    <row r="55" s="4" customFormat="1" ht="26.25" customHeight="1" spans="1:23">
      <c r="A55" s="117" t="s">
        <v>2361</v>
      </c>
      <c r="B55" s="29" t="s">
        <v>2363</v>
      </c>
      <c r="C55" s="118" t="s">
        <v>2364</v>
      </c>
      <c r="D55" s="29" t="s">
        <v>2083</v>
      </c>
      <c r="E55" s="30" t="s">
        <v>2368</v>
      </c>
      <c r="F55" s="32" t="s">
        <v>921</v>
      </c>
      <c r="G55" s="33">
        <f t="shared" si="17"/>
        <v>495</v>
      </c>
      <c r="H55" s="33">
        <v>495</v>
      </c>
      <c r="I55" s="33"/>
      <c r="J55" s="33"/>
      <c r="K55" s="33">
        <v>-10</v>
      </c>
      <c r="L55" s="33"/>
      <c r="M55" s="54">
        <f t="shared" si="18"/>
        <v>0</v>
      </c>
      <c r="N55" s="54"/>
      <c r="O55" s="54"/>
      <c r="P55" s="54"/>
      <c r="Q55" s="68">
        <f t="shared" si="19"/>
        <v>0</v>
      </c>
      <c r="R55" s="68"/>
      <c r="S55" s="68"/>
      <c r="T55" s="68"/>
      <c r="U55" s="129">
        <v>100</v>
      </c>
      <c r="V55" s="33">
        <f t="shared" si="20"/>
        <v>385</v>
      </c>
      <c r="W55" s="130" t="s">
        <v>2283</v>
      </c>
    </row>
    <row r="56" s="4" customFormat="1" ht="26.25" customHeight="1" spans="1:23">
      <c r="A56" s="117" t="s">
        <v>2361</v>
      </c>
      <c r="B56" s="29" t="s">
        <v>2363</v>
      </c>
      <c r="C56" s="118" t="s">
        <v>2364</v>
      </c>
      <c r="D56" s="119" t="s">
        <v>2083</v>
      </c>
      <c r="E56" s="30" t="s">
        <v>2369</v>
      </c>
      <c r="F56" s="32" t="s">
        <v>916</v>
      </c>
      <c r="G56" s="33">
        <f t="shared" si="17"/>
        <v>62</v>
      </c>
      <c r="H56" s="33">
        <v>62</v>
      </c>
      <c r="I56" s="33"/>
      <c r="J56" s="33"/>
      <c r="K56" s="33"/>
      <c r="L56" s="33">
        <v>50</v>
      </c>
      <c r="M56" s="54">
        <f t="shared" si="18"/>
        <v>0</v>
      </c>
      <c r="N56" s="54"/>
      <c r="O56" s="54"/>
      <c r="P56" s="54"/>
      <c r="Q56" s="68">
        <f t="shared" si="19"/>
        <v>0</v>
      </c>
      <c r="R56" s="68"/>
      <c r="S56" s="68"/>
      <c r="T56" s="68"/>
      <c r="U56" s="129"/>
      <c r="V56" s="33">
        <f t="shared" si="20"/>
        <v>112</v>
      </c>
      <c r="W56" s="130" t="s">
        <v>2283</v>
      </c>
    </row>
    <row r="57" s="4" customFormat="1" ht="26.25" customHeight="1" spans="1:23">
      <c r="A57" s="117" t="s">
        <v>2361</v>
      </c>
      <c r="B57" s="29" t="s">
        <v>2363</v>
      </c>
      <c r="C57" s="118" t="s">
        <v>2364</v>
      </c>
      <c r="D57" s="119" t="s">
        <v>2083</v>
      </c>
      <c r="E57" s="37" t="s">
        <v>2370</v>
      </c>
      <c r="F57" s="32" t="s">
        <v>918</v>
      </c>
      <c r="G57" s="33">
        <f t="shared" si="17"/>
        <v>23</v>
      </c>
      <c r="H57" s="33">
        <v>23</v>
      </c>
      <c r="I57" s="33"/>
      <c r="J57" s="33"/>
      <c r="K57" s="33"/>
      <c r="L57" s="33">
        <v>7</v>
      </c>
      <c r="M57" s="54">
        <f t="shared" si="18"/>
        <v>0</v>
      </c>
      <c r="N57" s="54"/>
      <c r="O57" s="54"/>
      <c r="P57" s="54"/>
      <c r="Q57" s="68">
        <f t="shared" si="19"/>
        <v>0</v>
      </c>
      <c r="R57" s="68"/>
      <c r="S57" s="68"/>
      <c r="T57" s="68"/>
      <c r="U57" s="129"/>
      <c r="V57" s="33">
        <f t="shared" si="20"/>
        <v>30</v>
      </c>
      <c r="W57" s="130" t="s">
        <v>2283</v>
      </c>
    </row>
    <row r="58" s="4" customFormat="1" ht="26.25" customHeight="1" spans="1:23">
      <c r="A58" s="117" t="s">
        <v>2361</v>
      </c>
      <c r="B58" s="29" t="s">
        <v>2363</v>
      </c>
      <c r="C58" s="118" t="s">
        <v>2364</v>
      </c>
      <c r="D58" s="119" t="s">
        <v>2083</v>
      </c>
      <c r="E58" s="30" t="s">
        <v>2371</v>
      </c>
      <c r="F58" s="32" t="s">
        <v>2372</v>
      </c>
      <c r="G58" s="33">
        <f t="shared" si="17"/>
        <v>2</v>
      </c>
      <c r="H58" s="33">
        <v>2</v>
      </c>
      <c r="I58" s="33"/>
      <c r="J58" s="33"/>
      <c r="K58" s="33"/>
      <c r="L58" s="33"/>
      <c r="M58" s="54">
        <f t="shared" si="18"/>
        <v>0</v>
      </c>
      <c r="N58" s="54"/>
      <c r="O58" s="54"/>
      <c r="P58" s="54"/>
      <c r="Q58" s="68">
        <f t="shared" si="19"/>
        <v>0</v>
      </c>
      <c r="R58" s="68"/>
      <c r="S58" s="68"/>
      <c r="T58" s="68"/>
      <c r="U58" s="129"/>
      <c r="V58" s="33">
        <f t="shared" si="20"/>
        <v>2</v>
      </c>
      <c r="W58" s="130" t="s">
        <v>2283</v>
      </c>
    </row>
    <row r="59" s="4" customFormat="1" ht="26.25" customHeight="1" spans="1:23">
      <c r="A59" s="117" t="s">
        <v>2361</v>
      </c>
      <c r="B59" s="29" t="s">
        <v>2363</v>
      </c>
      <c r="C59" s="118" t="s">
        <v>2364</v>
      </c>
      <c r="D59" s="119" t="s">
        <v>2083</v>
      </c>
      <c r="E59" s="30" t="s">
        <v>2373</v>
      </c>
      <c r="F59" s="32" t="s">
        <v>933</v>
      </c>
      <c r="G59" s="33">
        <f t="shared" si="17"/>
        <v>2</v>
      </c>
      <c r="H59" s="33">
        <v>2</v>
      </c>
      <c r="I59" s="33"/>
      <c r="J59" s="33"/>
      <c r="K59" s="33"/>
      <c r="L59" s="33"/>
      <c r="M59" s="54">
        <f t="shared" si="18"/>
        <v>0</v>
      </c>
      <c r="N59" s="54"/>
      <c r="O59" s="54"/>
      <c r="P59" s="54"/>
      <c r="Q59" s="68">
        <f t="shared" si="19"/>
        <v>0</v>
      </c>
      <c r="R59" s="68"/>
      <c r="S59" s="68"/>
      <c r="T59" s="68"/>
      <c r="U59" s="129"/>
      <c r="V59" s="33">
        <f t="shared" si="20"/>
        <v>2</v>
      </c>
      <c r="W59" s="130" t="s">
        <v>2283</v>
      </c>
    </row>
    <row r="60" s="4" customFormat="1" ht="26.25" customHeight="1" spans="1:23">
      <c r="A60" s="117" t="s">
        <v>2361</v>
      </c>
      <c r="B60" s="29" t="s">
        <v>2363</v>
      </c>
      <c r="C60" s="118" t="s">
        <v>2364</v>
      </c>
      <c r="D60" s="29" t="s">
        <v>2083</v>
      </c>
      <c r="E60" s="30" t="s">
        <v>2374</v>
      </c>
      <c r="F60" s="32" t="s">
        <v>2375</v>
      </c>
      <c r="G60" s="33">
        <f t="shared" si="17"/>
        <v>16</v>
      </c>
      <c r="H60" s="33">
        <v>16</v>
      </c>
      <c r="I60" s="33"/>
      <c r="J60" s="33"/>
      <c r="K60" s="33"/>
      <c r="L60" s="33"/>
      <c r="M60" s="54">
        <f t="shared" si="18"/>
        <v>0</v>
      </c>
      <c r="N60" s="54"/>
      <c r="O60" s="54"/>
      <c r="P60" s="54"/>
      <c r="Q60" s="68">
        <f t="shared" si="19"/>
        <v>0</v>
      </c>
      <c r="R60" s="68"/>
      <c r="S60" s="68"/>
      <c r="T60" s="68"/>
      <c r="U60" s="129"/>
      <c r="V60" s="33">
        <f t="shared" si="20"/>
        <v>16</v>
      </c>
      <c r="W60" s="130" t="s">
        <v>2283</v>
      </c>
    </row>
    <row r="61" s="4" customFormat="1" ht="26.25" customHeight="1" spans="1:23">
      <c r="A61" s="117" t="s">
        <v>2361</v>
      </c>
      <c r="B61" s="29" t="s">
        <v>2363</v>
      </c>
      <c r="C61" s="118" t="s">
        <v>2364</v>
      </c>
      <c r="D61" s="119" t="s">
        <v>2083</v>
      </c>
      <c r="E61" s="121" t="s">
        <v>2376</v>
      </c>
      <c r="F61" s="35" t="s">
        <v>2317</v>
      </c>
      <c r="G61" s="33">
        <f t="shared" si="17"/>
        <v>0</v>
      </c>
      <c r="H61" s="33"/>
      <c r="I61" s="33"/>
      <c r="J61" s="33"/>
      <c r="K61" s="55">
        <v>4.52</v>
      </c>
      <c r="L61" s="33"/>
      <c r="M61" s="54">
        <f t="shared" si="18"/>
        <v>0</v>
      </c>
      <c r="N61" s="54"/>
      <c r="O61" s="54"/>
      <c r="P61" s="54"/>
      <c r="Q61" s="68">
        <f t="shared" si="19"/>
        <v>0</v>
      </c>
      <c r="R61" s="68"/>
      <c r="S61" s="68"/>
      <c r="T61" s="68"/>
      <c r="U61" s="129"/>
      <c r="V61" s="33">
        <f t="shared" si="20"/>
        <v>4.52</v>
      </c>
      <c r="W61" s="130" t="s">
        <v>2283</v>
      </c>
    </row>
    <row r="62" s="4" customFormat="1" ht="26.25" customHeight="1" spans="1:23">
      <c r="A62" s="117" t="s">
        <v>2361</v>
      </c>
      <c r="B62" s="29" t="s">
        <v>2363</v>
      </c>
      <c r="C62" s="118" t="s">
        <v>2377</v>
      </c>
      <c r="D62" s="29" t="s">
        <v>2378</v>
      </c>
      <c r="E62" s="30" t="s">
        <v>2379</v>
      </c>
      <c r="F62" s="32" t="s">
        <v>922</v>
      </c>
      <c r="G62" s="33">
        <f t="shared" si="17"/>
        <v>100</v>
      </c>
      <c r="H62" s="33">
        <v>100</v>
      </c>
      <c r="I62" s="33"/>
      <c r="J62" s="33"/>
      <c r="K62" s="33"/>
      <c r="L62" s="33"/>
      <c r="M62" s="54">
        <f t="shared" si="18"/>
        <v>0</v>
      </c>
      <c r="N62" s="54"/>
      <c r="O62" s="54"/>
      <c r="P62" s="54"/>
      <c r="Q62" s="68">
        <f t="shared" si="19"/>
        <v>0</v>
      </c>
      <c r="R62" s="68"/>
      <c r="S62" s="68"/>
      <c r="T62" s="68"/>
      <c r="U62" s="129">
        <v>6.43</v>
      </c>
      <c r="V62" s="33">
        <f t="shared" si="20"/>
        <v>93.57</v>
      </c>
      <c r="W62" s="130" t="s">
        <v>2283</v>
      </c>
    </row>
    <row r="63" s="4" customFormat="1" ht="26.25" customHeight="1" spans="1:23">
      <c r="A63" s="117" t="s">
        <v>2361</v>
      </c>
      <c r="B63" s="29" t="s">
        <v>2363</v>
      </c>
      <c r="C63" s="118" t="s">
        <v>2377</v>
      </c>
      <c r="D63" s="119" t="s">
        <v>2378</v>
      </c>
      <c r="E63" s="30" t="s">
        <v>2380</v>
      </c>
      <c r="F63" s="32" t="s">
        <v>923</v>
      </c>
      <c r="G63" s="33">
        <f t="shared" si="17"/>
        <v>20.88</v>
      </c>
      <c r="H63" s="33">
        <v>20.88</v>
      </c>
      <c r="I63" s="33"/>
      <c r="J63" s="33"/>
      <c r="K63" s="33"/>
      <c r="L63" s="33"/>
      <c r="M63" s="54">
        <f t="shared" si="18"/>
        <v>0</v>
      </c>
      <c r="N63" s="54"/>
      <c r="O63" s="54"/>
      <c r="P63" s="54"/>
      <c r="Q63" s="68">
        <f t="shared" si="19"/>
        <v>0</v>
      </c>
      <c r="R63" s="68"/>
      <c r="S63" s="68"/>
      <c r="T63" s="68"/>
      <c r="U63" s="129">
        <v>5.1</v>
      </c>
      <c r="V63" s="33">
        <f t="shared" si="20"/>
        <v>15.78</v>
      </c>
      <c r="W63" s="130" t="s">
        <v>2283</v>
      </c>
    </row>
    <row r="64" s="4" customFormat="1" ht="26.25" customHeight="1" spans="1:23">
      <c r="A64" s="117" t="s">
        <v>2361</v>
      </c>
      <c r="B64" s="29" t="s">
        <v>2363</v>
      </c>
      <c r="C64" s="118" t="s">
        <v>2377</v>
      </c>
      <c r="D64" s="29" t="s">
        <v>2378</v>
      </c>
      <c r="E64" s="30" t="s">
        <v>2381</v>
      </c>
      <c r="F64" s="32" t="s">
        <v>924</v>
      </c>
      <c r="G64" s="33">
        <f t="shared" si="17"/>
        <v>346.15</v>
      </c>
      <c r="H64" s="33">
        <v>346.15</v>
      </c>
      <c r="I64" s="33"/>
      <c r="J64" s="33"/>
      <c r="K64" s="33"/>
      <c r="L64" s="33"/>
      <c r="M64" s="54">
        <f t="shared" si="18"/>
        <v>0</v>
      </c>
      <c r="N64" s="54"/>
      <c r="O64" s="54"/>
      <c r="P64" s="54"/>
      <c r="Q64" s="68">
        <f t="shared" si="19"/>
        <v>0</v>
      </c>
      <c r="R64" s="68"/>
      <c r="S64" s="68"/>
      <c r="T64" s="68"/>
      <c r="U64" s="129">
        <f>146.15+30</f>
        <v>176.15</v>
      </c>
      <c r="V64" s="33">
        <f t="shared" si="20"/>
        <v>170</v>
      </c>
      <c r="W64" s="130" t="s">
        <v>2283</v>
      </c>
    </row>
    <row r="65" s="4" customFormat="1" ht="26.25" customHeight="1" spans="1:23">
      <c r="A65" s="117" t="s">
        <v>2361</v>
      </c>
      <c r="B65" s="29" t="s">
        <v>2363</v>
      </c>
      <c r="C65" s="118" t="s">
        <v>2382</v>
      </c>
      <c r="D65" s="119" t="s">
        <v>2383</v>
      </c>
      <c r="E65" s="121" t="s">
        <v>2365</v>
      </c>
      <c r="F65" s="35" t="s">
        <v>919</v>
      </c>
      <c r="G65" s="33">
        <f t="shared" si="17"/>
        <v>0</v>
      </c>
      <c r="H65" s="33"/>
      <c r="I65" s="33"/>
      <c r="J65" s="33"/>
      <c r="K65" s="33"/>
      <c r="L65" s="128">
        <v>20</v>
      </c>
      <c r="M65" s="54">
        <f t="shared" si="18"/>
        <v>0</v>
      </c>
      <c r="N65" s="54"/>
      <c r="O65" s="54"/>
      <c r="P65" s="54"/>
      <c r="Q65" s="68">
        <f t="shared" si="19"/>
        <v>0</v>
      </c>
      <c r="R65" s="68"/>
      <c r="S65" s="68"/>
      <c r="T65" s="68"/>
      <c r="U65" s="129"/>
      <c r="V65" s="33">
        <f t="shared" si="20"/>
        <v>20</v>
      </c>
      <c r="W65" s="130" t="s">
        <v>2283</v>
      </c>
    </row>
    <row r="66" s="4" customFormat="1" ht="26.25" customHeight="1" spans="1:23">
      <c r="A66" s="117" t="s">
        <v>2361</v>
      </c>
      <c r="B66" s="29" t="s">
        <v>2363</v>
      </c>
      <c r="C66" s="118" t="s">
        <v>2382</v>
      </c>
      <c r="D66" s="119" t="s">
        <v>2383</v>
      </c>
      <c r="E66" s="30" t="s">
        <v>2384</v>
      </c>
      <c r="F66" s="32" t="s">
        <v>2385</v>
      </c>
      <c r="G66" s="33">
        <f t="shared" si="17"/>
        <v>20</v>
      </c>
      <c r="H66" s="33">
        <v>20</v>
      </c>
      <c r="I66" s="33"/>
      <c r="J66" s="33"/>
      <c r="K66" s="33"/>
      <c r="L66" s="33"/>
      <c r="M66" s="54">
        <f t="shared" si="18"/>
        <v>0</v>
      </c>
      <c r="N66" s="54"/>
      <c r="O66" s="54"/>
      <c r="P66" s="54"/>
      <c r="Q66" s="68">
        <f t="shared" si="19"/>
        <v>0</v>
      </c>
      <c r="R66" s="68"/>
      <c r="S66" s="68"/>
      <c r="T66" s="68"/>
      <c r="U66" s="129"/>
      <c r="V66" s="33">
        <f t="shared" si="20"/>
        <v>20</v>
      </c>
      <c r="W66" s="130" t="s">
        <v>2283</v>
      </c>
    </row>
    <row r="67" s="4" customFormat="1" ht="26.25" customHeight="1" spans="1:23">
      <c r="A67" s="117" t="s">
        <v>2361</v>
      </c>
      <c r="B67" s="29" t="s">
        <v>2363</v>
      </c>
      <c r="C67" s="118" t="s">
        <v>2382</v>
      </c>
      <c r="D67" s="119" t="s">
        <v>2383</v>
      </c>
      <c r="E67" s="30" t="s">
        <v>2386</v>
      </c>
      <c r="F67" s="32" t="s">
        <v>2387</v>
      </c>
      <c r="G67" s="33">
        <f t="shared" si="17"/>
        <v>5</v>
      </c>
      <c r="H67" s="33">
        <v>5</v>
      </c>
      <c r="I67" s="33"/>
      <c r="J67" s="33"/>
      <c r="K67" s="33"/>
      <c r="L67" s="33"/>
      <c r="M67" s="54">
        <f t="shared" si="18"/>
        <v>0</v>
      </c>
      <c r="N67" s="54"/>
      <c r="O67" s="54"/>
      <c r="P67" s="54"/>
      <c r="Q67" s="68">
        <f t="shared" si="19"/>
        <v>0</v>
      </c>
      <c r="R67" s="68"/>
      <c r="S67" s="68"/>
      <c r="T67" s="68"/>
      <c r="U67" s="129"/>
      <c r="V67" s="33">
        <f t="shared" si="20"/>
        <v>5</v>
      </c>
      <c r="W67" s="130" t="s">
        <v>2283</v>
      </c>
    </row>
    <row r="68" s="4" customFormat="1" ht="26.25" customHeight="1" spans="1:23">
      <c r="A68" s="117" t="s">
        <v>2361</v>
      </c>
      <c r="B68" s="29" t="s">
        <v>2363</v>
      </c>
      <c r="C68" s="118" t="s">
        <v>2382</v>
      </c>
      <c r="D68" s="119" t="s">
        <v>2383</v>
      </c>
      <c r="E68" s="30" t="s">
        <v>2388</v>
      </c>
      <c r="F68" s="32" t="s">
        <v>2389</v>
      </c>
      <c r="G68" s="33">
        <f t="shared" si="17"/>
        <v>10</v>
      </c>
      <c r="H68" s="33">
        <v>10</v>
      </c>
      <c r="I68" s="33"/>
      <c r="J68" s="33"/>
      <c r="K68" s="33"/>
      <c r="L68" s="33"/>
      <c r="M68" s="54">
        <f t="shared" si="18"/>
        <v>0</v>
      </c>
      <c r="N68" s="54"/>
      <c r="O68" s="54"/>
      <c r="P68" s="54"/>
      <c r="Q68" s="68">
        <f t="shared" si="19"/>
        <v>0</v>
      </c>
      <c r="R68" s="68"/>
      <c r="S68" s="68"/>
      <c r="T68" s="68"/>
      <c r="U68" s="129"/>
      <c r="V68" s="33">
        <f t="shared" si="20"/>
        <v>10</v>
      </c>
      <c r="W68" s="130" t="s">
        <v>2283</v>
      </c>
    </row>
    <row r="69" s="4" customFormat="1" ht="26.25" customHeight="1" spans="1:23">
      <c r="A69" s="117" t="s">
        <v>2361</v>
      </c>
      <c r="B69" s="29" t="s">
        <v>2363</v>
      </c>
      <c r="C69" s="118" t="s">
        <v>2382</v>
      </c>
      <c r="D69" s="120" t="s">
        <v>2383</v>
      </c>
      <c r="E69" s="37" t="s">
        <v>2390</v>
      </c>
      <c r="F69" s="32" t="s">
        <v>2391</v>
      </c>
      <c r="G69" s="33">
        <f t="shared" si="17"/>
        <v>1025.5</v>
      </c>
      <c r="H69" s="33"/>
      <c r="I69" s="33">
        <v>1025.5</v>
      </c>
      <c r="J69" s="33"/>
      <c r="K69" s="33"/>
      <c r="L69" s="33"/>
      <c r="M69" s="54">
        <f t="shared" si="18"/>
        <v>0</v>
      </c>
      <c r="N69" s="54"/>
      <c r="O69" s="54"/>
      <c r="P69" s="54"/>
      <c r="Q69" s="68">
        <f t="shared" si="19"/>
        <v>0</v>
      </c>
      <c r="R69" s="68"/>
      <c r="S69" s="68"/>
      <c r="T69" s="68"/>
      <c r="U69" s="129"/>
      <c r="V69" s="70">
        <f t="shared" si="20"/>
        <v>1025.5</v>
      </c>
      <c r="W69" s="130" t="s">
        <v>2283</v>
      </c>
    </row>
    <row r="70" s="4" customFormat="1" ht="26.25" customHeight="1" spans="1:23">
      <c r="A70" s="117" t="s">
        <v>2361</v>
      </c>
      <c r="B70" s="29" t="s">
        <v>2363</v>
      </c>
      <c r="C70" s="118" t="s">
        <v>2382</v>
      </c>
      <c r="D70" s="120" t="s">
        <v>2383</v>
      </c>
      <c r="E70" s="37" t="s">
        <v>2392</v>
      </c>
      <c r="F70" s="32" t="s">
        <v>2393</v>
      </c>
      <c r="G70" s="33">
        <f t="shared" si="17"/>
        <v>185</v>
      </c>
      <c r="H70" s="33"/>
      <c r="I70" s="33">
        <v>185</v>
      </c>
      <c r="J70" s="33"/>
      <c r="K70" s="33"/>
      <c r="L70" s="33"/>
      <c r="M70" s="54">
        <f t="shared" si="18"/>
        <v>0</v>
      </c>
      <c r="N70" s="54"/>
      <c r="O70" s="54"/>
      <c r="P70" s="54"/>
      <c r="Q70" s="68">
        <f t="shared" si="19"/>
        <v>0</v>
      </c>
      <c r="R70" s="68"/>
      <c r="S70" s="68"/>
      <c r="T70" s="68"/>
      <c r="U70" s="129"/>
      <c r="V70" s="70">
        <f t="shared" si="20"/>
        <v>185</v>
      </c>
      <c r="W70" s="130" t="s">
        <v>2283</v>
      </c>
    </row>
    <row r="71" s="4" customFormat="1" ht="26.25" customHeight="1" spans="1:23">
      <c r="A71" s="117" t="s">
        <v>2361</v>
      </c>
      <c r="B71" s="29" t="s">
        <v>2363</v>
      </c>
      <c r="C71" s="118" t="s">
        <v>2382</v>
      </c>
      <c r="D71" s="119" t="s">
        <v>2383</v>
      </c>
      <c r="E71" s="37" t="s">
        <v>2394</v>
      </c>
      <c r="F71" s="32" t="s">
        <v>2395</v>
      </c>
      <c r="G71" s="33">
        <f t="shared" si="17"/>
        <v>40</v>
      </c>
      <c r="H71" s="33">
        <v>40</v>
      </c>
      <c r="I71" s="33"/>
      <c r="J71" s="33"/>
      <c r="K71" s="33"/>
      <c r="L71" s="33"/>
      <c r="M71" s="54">
        <f t="shared" si="18"/>
        <v>0</v>
      </c>
      <c r="N71" s="54"/>
      <c r="O71" s="54"/>
      <c r="P71" s="54"/>
      <c r="Q71" s="68">
        <f t="shared" si="19"/>
        <v>0</v>
      </c>
      <c r="R71" s="68"/>
      <c r="S71" s="68"/>
      <c r="T71" s="68"/>
      <c r="U71" s="129"/>
      <c r="V71" s="33">
        <f t="shared" si="20"/>
        <v>40</v>
      </c>
      <c r="W71" s="130" t="s">
        <v>2283</v>
      </c>
    </row>
    <row r="72" s="4" customFormat="1" ht="26.25" customHeight="1" spans="1:23">
      <c r="A72" s="117" t="s">
        <v>2361</v>
      </c>
      <c r="B72" s="29" t="s">
        <v>2363</v>
      </c>
      <c r="C72" s="118" t="s">
        <v>2396</v>
      </c>
      <c r="D72" s="120" t="s">
        <v>2397</v>
      </c>
      <c r="E72" s="37" t="s">
        <v>2398</v>
      </c>
      <c r="F72" s="32" t="s">
        <v>2399</v>
      </c>
      <c r="G72" s="33">
        <f t="shared" si="17"/>
        <v>80</v>
      </c>
      <c r="H72" s="33"/>
      <c r="I72" s="33">
        <v>80</v>
      </c>
      <c r="J72" s="33"/>
      <c r="K72" s="33"/>
      <c r="L72" s="33"/>
      <c r="M72" s="54">
        <f t="shared" si="18"/>
        <v>0</v>
      </c>
      <c r="N72" s="54"/>
      <c r="O72" s="54"/>
      <c r="P72" s="54"/>
      <c r="Q72" s="68">
        <f t="shared" si="19"/>
        <v>0</v>
      </c>
      <c r="R72" s="68"/>
      <c r="S72" s="68"/>
      <c r="T72" s="68"/>
      <c r="U72" s="129"/>
      <c r="V72" s="70">
        <f t="shared" si="20"/>
        <v>80</v>
      </c>
      <c r="W72" s="130" t="s">
        <v>2283</v>
      </c>
    </row>
    <row r="73" s="4" customFormat="1" ht="26.25" customHeight="1" spans="1:23">
      <c r="A73" s="117" t="s">
        <v>2361</v>
      </c>
      <c r="B73" s="29" t="s">
        <v>2363</v>
      </c>
      <c r="C73" s="118" t="s">
        <v>2400</v>
      </c>
      <c r="D73" s="120" t="s">
        <v>2401</v>
      </c>
      <c r="E73" s="37" t="s">
        <v>2402</v>
      </c>
      <c r="F73" s="32" t="s">
        <v>2403</v>
      </c>
      <c r="G73" s="33">
        <f t="shared" si="17"/>
        <v>115</v>
      </c>
      <c r="H73" s="33"/>
      <c r="I73" s="33">
        <v>115</v>
      </c>
      <c r="J73" s="33"/>
      <c r="K73" s="33"/>
      <c r="L73" s="33"/>
      <c r="M73" s="54">
        <f t="shared" si="18"/>
        <v>0</v>
      </c>
      <c r="N73" s="54"/>
      <c r="O73" s="54"/>
      <c r="P73" s="54"/>
      <c r="Q73" s="68">
        <f t="shared" si="19"/>
        <v>0</v>
      </c>
      <c r="R73" s="68"/>
      <c r="S73" s="68"/>
      <c r="T73" s="68"/>
      <c r="U73" s="129"/>
      <c r="V73" s="70">
        <f t="shared" si="20"/>
        <v>115</v>
      </c>
      <c r="W73" s="130" t="s">
        <v>2283</v>
      </c>
    </row>
    <row r="74" s="4" customFormat="1" ht="26.25" customHeight="1" spans="1:23">
      <c r="A74" s="117" t="s">
        <v>2361</v>
      </c>
      <c r="B74" s="29" t="s">
        <v>2363</v>
      </c>
      <c r="C74" s="35" t="s">
        <v>2404</v>
      </c>
      <c r="D74" s="38" t="s">
        <v>2405</v>
      </c>
      <c r="E74" s="127" t="s">
        <v>2406</v>
      </c>
      <c r="F74" s="38" t="s">
        <v>918</v>
      </c>
      <c r="G74" s="33">
        <f t="shared" si="17"/>
        <v>0</v>
      </c>
      <c r="H74" s="33"/>
      <c r="I74" s="33"/>
      <c r="J74" s="33"/>
      <c r="K74" s="33"/>
      <c r="L74" s="33"/>
      <c r="M74" s="54">
        <f t="shared" si="18"/>
        <v>0</v>
      </c>
      <c r="N74" s="54"/>
      <c r="O74" s="54"/>
      <c r="P74" s="54"/>
      <c r="Q74" s="68">
        <f t="shared" si="19"/>
        <v>22</v>
      </c>
      <c r="R74" s="68"/>
      <c r="S74" s="68">
        <v>22</v>
      </c>
      <c r="T74" s="68"/>
      <c r="U74" s="129"/>
      <c r="V74" s="68">
        <f t="shared" si="20"/>
        <v>22</v>
      </c>
      <c r="W74" s="91" t="s">
        <v>2407</v>
      </c>
    </row>
    <row r="75" s="4" customFormat="1" ht="26.25" customHeight="1" spans="1:23">
      <c r="A75" s="115" t="s">
        <v>2408</v>
      </c>
      <c r="B75" s="23" t="s">
        <v>1284</v>
      </c>
      <c r="C75" s="116"/>
      <c r="D75" s="116"/>
      <c r="E75" s="84"/>
      <c r="F75" s="26"/>
      <c r="G75" s="27">
        <f t="shared" ref="G75:V75" si="21">SUM(G76:G80)</f>
        <v>26</v>
      </c>
      <c r="H75" s="27">
        <f t="shared" si="21"/>
        <v>26</v>
      </c>
      <c r="I75" s="27">
        <f t="shared" si="21"/>
        <v>0</v>
      </c>
      <c r="J75" s="27">
        <f t="shared" si="21"/>
        <v>0</v>
      </c>
      <c r="K75" s="27">
        <f t="shared" si="21"/>
        <v>0.1</v>
      </c>
      <c r="L75" s="27">
        <f t="shared" si="21"/>
        <v>0</v>
      </c>
      <c r="M75" s="27">
        <f t="shared" si="21"/>
        <v>3</v>
      </c>
      <c r="N75" s="27">
        <f t="shared" si="21"/>
        <v>0</v>
      </c>
      <c r="O75" s="27">
        <f t="shared" si="21"/>
        <v>3</v>
      </c>
      <c r="P75" s="27">
        <f t="shared" si="21"/>
        <v>0</v>
      </c>
      <c r="Q75" s="27">
        <f t="shared" si="21"/>
        <v>0</v>
      </c>
      <c r="R75" s="27">
        <f t="shared" si="21"/>
        <v>0</v>
      </c>
      <c r="S75" s="27">
        <f t="shared" si="21"/>
        <v>0</v>
      </c>
      <c r="T75" s="27">
        <f t="shared" si="21"/>
        <v>0</v>
      </c>
      <c r="U75" s="27">
        <f t="shared" si="21"/>
        <v>8.3</v>
      </c>
      <c r="V75" s="27">
        <f t="shared" si="21"/>
        <v>20.8</v>
      </c>
      <c r="W75" s="67"/>
    </row>
    <row r="76" s="4" customFormat="1" ht="26.25" customHeight="1" spans="1:23">
      <c r="A76" s="117" t="s">
        <v>2408</v>
      </c>
      <c r="B76" s="29" t="s">
        <v>1492</v>
      </c>
      <c r="C76" s="35" t="s">
        <v>2409</v>
      </c>
      <c r="D76" s="76" t="s">
        <v>2410</v>
      </c>
      <c r="E76" s="30" t="s">
        <v>2411</v>
      </c>
      <c r="F76" s="32" t="s">
        <v>926</v>
      </c>
      <c r="G76" s="33">
        <f t="shared" ref="G76:G80" si="22">SUM(H76:J76)</f>
        <v>0</v>
      </c>
      <c r="H76" s="33"/>
      <c r="I76" s="33"/>
      <c r="J76" s="33"/>
      <c r="K76" s="33"/>
      <c r="L76" s="33"/>
      <c r="M76" s="54">
        <f t="shared" ref="M76:M80" si="23">N76+O76-P76</f>
        <v>3</v>
      </c>
      <c r="N76" s="54"/>
      <c r="O76" s="54">
        <v>3</v>
      </c>
      <c r="P76" s="54"/>
      <c r="Q76" s="68">
        <f t="shared" ref="Q76:Q80" si="24">R76+S76-T76</f>
        <v>0</v>
      </c>
      <c r="R76" s="68"/>
      <c r="S76" s="68"/>
      <c r="T76" s="68"/>
      <c r="U76" s="129"/>
      <c r="V76" s="54">
        <f t="shared" ref="V76:V80" si="25">G76+K76+L76+M76+Q76-U76</f>
        <v>3</v>
      </c>
      <c r="W76" s="92" t="s">
        <v>530</v>
      </c>
    </row>
    <row r="77" s="4" customFormat="1" ht="26.25" customHeight="1" spans="1:23">
      <c r="A77" s="117" t="s">
        <v>2408</v>
      </c>
      <c r="B77" s="29" t="s">
        <v>1492</v>
      </c>
      <c r="C77" s="118" t="s">
        <v>2412</v>
      </c>
      <c r="D77" s="119" t="s">
        <v>2310</v>
      </c>
      <c r="E77" s="30" t="s">
        <v>2411</v>
      </c>
      <c r="F77" s="32" t="s">
        <v>926</v>
      </c>
      <c r="G77" s="33">
        <f t="shared" si="22"/>
        <v>10</v>
      </c>
      <c r="H77" s="33">
        <v>10</v>
      </c>
      <c r="I77" s="33"/>
      <c r="J77" s="33"/>
      <c r="K77" s="33"/>
      <c r="L77" s="33"/>
      <c r="M77" s="54">
        <f t="shared" si="23"/>
        <v>0</v>
      </c>
      <c r="N77" s="54"/>
      <c r="O77" s="54"/>
      <c r="P77" s="54"/>
      <c r="Q77" s="68">
        <f t="shared" si="24"/>
        <v>0</v>
      </c>
      <c r="R77" s="68"/>
      <c r="S77" s="68"/>
      <c r="T77" s="68"/>
      <c r="U77" s="129">
        <v>5.9</v>
      </c>
      <c r="V77" s="33">
        <f t="shared" si="25"/>
        <v>4.1</v>
      </c>
      <c r="W77" s="130" t="s">
        <v>2283</v>
      </c>
    </row>
    <row r="78" s="4" customFormat="1" ht="26.25" customHeight="1" spans="1:23">
      <c r="A78" s="117" t="s">
        <v>2408</v>
      </c>
      <c r="B78" s="29" t="s">
        <v>1492</v>
      </c>
      <c r="C78" s="118" t="s">
        <v>2412</v>
      </c>
      <c r="D78" s="119" t="s">
        <v>2310</v>
      </c>
      <c r="E78" s="30" t="s">
        <v>2413</v>
      </c>
      <c r="F78" s="32" t="s">
        <v>927</v>
      </c>
      <c r="G78" s="33">
        <f t="shared" si="22"/>
        <v>6</v>
      </c>
      <c r="H78" s="33">
        <v>6</v>
      </c>
      <c r="I78" s="33"/>
      <c r="J78" s="33"/>
      <c r="K78" s="33"/>
      <c r="L78" s="33"/>
      <c r="M78" s="54">
        <f t="shared" si="23"/>
        <v>0</v>
      </c>
      <c r="N78" s="54"/>
      <c r="O78" s="54"/>
      <c r="P78" s="54"/>
      <c r="Q78" s="68">
        <f t="shared" si="24"/>
        <v>0</v>
      </c>
      <c r="R78" s="68"/>
      <c r="S78" s="68"/>
      <c r="T78" s="68"/>
      <c r="U78" s="129">
        <v>2.4</v>
      </c>
      <c r="V78" s="33">
        <f t="shared" si="25"/>
        <v>3.6</v>
      </c>
      <c r="W78" s="130" t="s">
        <v>2283</v>
      </c>
    </row>
    <row r="79" s="4" customFormat="1" ht="26.25" customHeight="1" spans="1:23">
      <c r="A79" s="117" t="s">
        <v>2408</v>
      </c>
      <c r="B79" s="29" t="s">
        <v>1492</v>
      </c>
      <c r="C79" s="118" t="s">
        <v>2412</v>
      </c>
      <c r="D79" s="119" t="s">
        <v>2310</v>
      </c>
      <c r="E79" s="30" t="s">
        <v>2414</v>
      </c>
      <c r="F79" s="32" t="s">
        <v>2415</v>
      </c>
      <c r="G79" s="33">
        <f t="shared" si="22"/>
        <v>10</v>
      </c>
      <c r="H79" s="33">
        <v>10</v>
      </c>
      <c r="I79" s="33"/>
      <c r="J79" s="33"/>
      <c r="K79" s="33"/>
      <c r="L79" s="33"/>
      <c r="M79" s="54">
        <f t="shared" si="23"/>
        <v>0</v>
      </c>
      <c r="N79" s="54"/>
      <c r="O79" s="54"/>
      <c r="P79" s="54"/>
      <c r="Q79" s="68">
        <f t="shared" si="24"/>
        <v>0</v>
      </c>
      <c r="R79" s="68"/>
      <c r="S79" s="68"/>
      <c r="T79" s="68"/>
      <c r="U79" s="129"/>
      <c r="V79" s="33">
        <f t="shared" si="25"/>
        <v>10</v>
      </c>
      <c r="W79" s="130" t="s">
        <v>2283</v>
      </c>
    </row>
    <row r="80" s="4" customFormat="1" ht="26.25" customHeight="1" spans="1:23">
      <c r="A80" s="117" t="s">
        <v>2408</v>
      </c>
      <c r="B80" s="29" t="s">
        <v>1492</v>
      </c>
      <c r="C80" s="118" t="s">
        <v>2412</v>
      </c>
      <c r="D80" s="119" t="s">
        <v>2310</v>
      </c>
      <c r="E80" s="121" t="s">
        <v>2416</v>
      </c>
      <c r="F80" s="35" t="s">
        <v>2317</v>
      </c>
      <c r="G80" s="33">
        <f t="shared" si="22"/>
        <v>0</v>
      </c>
      <c r="H80" s="33"/>
      <c r="I80" s="33"/>
      <c r="J80" s="33"/>
      <c r="K80" s="55">
        <v>0.1</v>
      </c>
      <c r="L80" s="33"/>
      <c r="M80" s="54">
        <f t="shared" si="23"/>
        <v>0</v>
      </c>
      <c r="N80" s="54"/>
      <c r="O80" s="54"/>
      <c r="P80" s="54"/>
      <c r="Q80" s="68">
        <f t="shared" si="24"/>
        <v>0</v>
      </c>
      <c r="R80" s="68"/>
      <c r="S80" s="68"/>
      <c r="T80" s="68"/>
      <c r="U80" s="129"/>
      <c r="V80" s="33">
        <f t="shared" si="25"/>
        <v>0.1</v>
      </c>
      <c r="W80" s="130" t="s">
        <v>2283</v>
      </c>
    </row>
    <row r="81" s="4" customFormat="1" ht="26.25" customHeight="1" spans="1:23">
      <c r="A81" s="115" t="s">
        <v>2417</v>
      </c>
      <c r="B81" s="23" t="s">
        <v>2418</v>
      </c>
      <c r="C81" s="116"/>
      <c r="D81" s="116"/>
      <c r="E81" s="84"/>
      <c r="F81" s="26"/>
      <c r="G81" s="27">
        <f t="shared" ref="G81:V81" si="26">SUM(G82:G93)</f>
        <v>177.39</v>
      </c>
      <c r="H81" s="27">
        <f t="shared" si="26"/>
        <v>177.39</v>
      </c>
      <c r="I81" s="27">
        <f t="shared" si="26"/>
        <v>0</v>
      </c>
      <c r="J81" s="27">
        <f t="shared" si="26"/>
        <v>0</v>
      </c>
      <c r="K81" s="27">
        <f t="shared" si="26"/>
        <v>5.26000000000001</v>
      </c>
      <c r="L81" s="27">
        <f t="shared" si="26"/>
        <v>0</v>
      </c>
      <c r="M81" s="27">
        <f t="shared" si="26"/>
        <v>4</v>
      </c>
      <c r="N81" s="27">
        <f t="shared" si="26"/>
        <v>0</v>
      </c>
      <c r="O81" s="27">
        <f t="shared" si="26"/>
        <v>4</v>
      </c>
      <c r="P81" s="27">
        <f t="shared" si="26"/>
        <v>0</v>
      </c>
      <c r="Q81" s="27">
        <f t="shared" si="26"/>
        <v>27.24834</v>
      </c>
      <c r="R81" s="27">
        <f t="shared" si="26"/>
        <v>0</v>
      </c>
      <c r="S81" s="27">
        <f t="shared" si="26"/>
        <v>27.24834</v>
      </c>
      <c r="T81" s="27">
        <f t="shared" si="26"/>
        <v>0</v>
      </c>
      <c r="U81" s="27">
        <f t="shared" si="26"/>
        <v>8.1</v>
      </c>
      <c r="V81" s="27">
        <f t="shared" si="26"/>
        <v>205.79834</v>
      </c>
      <c r="W81" s="67"/>
    </row>
    <row r="82" s="4" customFormat="1" ht="26.25" customHeight="1" spans="1:23">
      <c r="A82" s="117" t="s">
        <v>2417</v>
      </c>
      <c r="B82" s="29" t="s">
        <v>2419</v>
      </c>
      <c r="C82" s="118" t="s">
        <v>2420</v>
      </c>
      <c r="D82" s="119" t="s">
        <v>2083</v>
      </c>
      <c r="E82" s="30" t="s">
        <v>2421</v>
      </c>
      <c r="F82" s="32" t="s">
        <v>933</v>
      </c>
      <c r="G82" s="33">
        <f t="shared" ref="G82:G92" si="27">SUM(H82:J82)</f>
        <v>2</v>
      </c>
      <c r="H82" s="33">
        <v>2</v>
      </c>
      <c r="I82" s="33"/>
      <c r="J82" s="33"/>
      <c r="K82" s="33"/>
      <c r="L82" s="33"/>
      <c r="M82" s="54">
        <f t="shared" ref="M82:M92" si="28">N82+O82-P82</f>
        <v>0</v>
      </c>
      <c r="N82" s="54"/>
      <c r="O82" s="54"/>
      <c r="P82" s="54"/>
      <c r="Q82" s="68">
        <f t="shared" ref="Q82:Q92" si="29">R82+S82-T82</f>
        <v>0</v>
      </c>
      <c r="R82" s="68"/>
      <c r="S82" s="68"/>
      <c r="T82" s="68"/>
      <c r="U82" s="129"/>
      <c r="V82" s="33">
        <f t="shared" ref="V82:V93" si="30">G82+K82+L82+M82+Q82-U82</f>
        <v>2</v>
      </c>
      <c r="W82" s="130" t="s">
        <v>2283</v>
      </c>
    </row>
    <row r="83" s="4" customFormat="1" ht="26.25" customHeight="1" spans="1:23">
      <c r="A83" s="117" t="s">
        <v>2417</v>
      </c>
      <c r="B83" s="29" t="s">
        <v>2419</v>
      </c>
      <c r="C83" s="118" t="s">
        <v>2420</v>
      </c>
      <c r="D83" s="119" t="s">
        <v>2083</v>
      </c>
      <c r="E83" s="30" t="s">
        <v>2422</v>
      </c>
      <c r="F83" s="32" t="s">
        <v>2423</v>
      </c>
      <c r="G83" s="33">
        <f t="shared" si="27"/>
        <v>18</v>
      </c>
      <c r="H83" s="33">
        <v>18</v>
      </c>
      <c r="I83" s="33"/>
      <c r="J83" s="33"/>
      <c r="K83" s="33"/>
      <c r="L83" s="33"/>
      <c r="M83" s="54">
        <f t="shared" si="28"/>
        <v>0</v>
      </c>
      <c r="N83" s="54"/>
      <c r="O83" s="54"/>
      <c r="P83" s="54"/>
      <c r="Q83" s="68">
        <f t="shared" si="29"/>
        <v>0</v>
      </c>
      <c r="R83" s="68"/>
      <c r="S83" s="68"/>
      <c r="T83" s="68"/>
      <c r="U83" s="129"/>
      <c r="V83" s="33">
        <f t="shared" si="30"/>
        <v>18</v>
      </c>
      <c r="W83" s="130" t="s">
        <v>2283</v>
      </c>
    </row>
    <row r="84" s="4" customFormat="1" ht="26.25" customHeight="1" spans="1:23">
      <c r="A84" s="117" t="s">
        <v>2417</v>
      </c>
      <c r="B84" s="29" t="s">
        <v>2419</v>
      </c>
      <c r="C84" s="118" t="s">
        <v>2420</v>
      </c>
      <c r="D84" s="120" t="s">
        <v>2083</v>
      </c>
      <c r="E84" s="37" t="s">
        <v>2424</v>
      </c>
      <c r="F84" s="32" t="s">
        <v>956</v>
      </c>
      <c r="G84" s="33">
        <f t="shared" si="27"/>
        <v>42.39</v>
      </c>
      <c r="H84" s="33">
        <v>42.39</v>
      </c>
      <c r="I84" s="33"/>
      <c r="J84" s="33"/>
      <c r="K84" s="33"/>
      <c r="L84" s="33"/>
      <c r="M84" s="54">
        <f t="shared" si="28"/>
        <v>0</v>
      </c>
      <c r="N84" s="54"/>
      <c r="O84" s="54"/>
      <c r="P84" s="54"/>
      <c r="Q84" s="68">
        <f t="shared" si="29"/>
        <v>0</v>
      </c>
      <c r="R84" s="68"/>
      <c r="S84" s="68"/>
      <c r="T84" s="68"/>
      <c r="U84" s="129"/>
      <c r="V84" s="70">
        <f t="shared" si="30"/>
        <v>42.39</v>
      </c>
      <c r="W84" s="130" t="s">
        <v>2283</v>
      </c>
    </row>
    <row r="85" s="4" customFormat="1" ht="26.25" customHeight="1" spans="1:23">
      <c r="A85" s="117" t="s">
        <v>2417</v>
      </c>
      <c r="B85" s="29" t="s">
        <v>2419</v>
      </c>
      <c r="C85" s="118" t="s">
        <v>2420</v>
      </c>
      <c r="D85" s="119" t="s">
        <v>2083</v>
      </c>
      <c r="E85" s="121" t="s">
        <v>2425</v>
      </c>
      <c r="F85" s="35" t="s">
        <v>2317</v>
      </c>
      <c r="G85" s="33">
        <f t="shared" si="27"/>
        <v>0</v>
      </c>
      <c r="H85" s="33"/>
      <c r="I85" s="33"/>
      <c r="J85" s="33"/>
      <c r="K85" s="55">
        <v>5.26</v>
      </c>
      <c r="L85" s="33"/>
      <c r="M85" s="54">
        <f t="shared" si="28"/>
        <v>0</v>
      </c>
      <c r="N85" s="54"/>
      <c r="O85" s="54"/>
      <c r="P85" s="54"/>
      <c r="Q85" s="68">
        <f t="shared" si="29"/>
        <v>0</v>
      </c>
      <c r="R85" s="68"/>
      <c r="S85" s="68"/>
      <c r="T85" s="68"/>
      <c r="U85" s="129"/>
      <c r="V85" s="33">
        <f t="shared" si="30"/>
        <v>5.26</v>
      </c>
      <c r="W85" s="130" t="s">
        <v>2283</v>
      </c>
    </row>
    <row r="86" s="4" customFormat="1" ht="26.25" customHeight="1" spans="1:23">
      <c r="A86" s="117" t="s">
        <v>2417</v>
      </c>
      <c r="B86" s="29" t="s">
        <v>2419</v>
      </c>
      <c r="C86" s="35" t="s">
        <v>2426</v>
      </c>
      <c r="D86" s="38" t="s">
        <v>2427</v>
      </c>
      <c r="E86" s="121" t="s">
        <v>2428</v>
      </c>
      <c r="F86" s="38" t="s">
        <v>2429</v>
      </c>
      <c r="G86" s="33">
        <f t="shared" si="27"/>
        <v>0</v>
      </c>
      <c r="H86" s="33"/>
      <c r="I86" s="33"/>
      <c r="J86" s="33"/>
      <c r="K86" s="33"/>
      <c r="L86" s="33"/>
      <c r="M86" s="54">
        <f t="shared" si="28"/>
        <v>0</v>
      </c>
      <c r="N86" s="54"/>
      <c r="O86" s="54"/>
      <c r="P86" s="54"/>
      <c r="Q86" s="68">
        <f t="shared" si="29"/>
        <v>2.84684</v>
      </c>
      <c r="R86" s="68"/>
      <c r="S86" s="68">
        <v>2.84684</v>
      </c>
      <c r="T86" s="68"/>
      <c r="U86" s="129"/>
      <c r="V86" s="68">
        <f t="shared" si="30"/>
        <v>2.84684</v>
      </c>
      <c r="W86" s="91" t="s">
        <v>2430</v>
      </c>
    </row>
    <row r="87" s="4" customFormat="1" ht="26.25" customHeight="1" spans="1:23">
      <c r="A87" s="117" t="s">
        <v>2417</v>
      </c>
      <c r="B87" s="29" t="s">
        <v>2419</v>
      </c>
      <c r="C87" s="35" t="s">
        <v>2426</v>
      </c>
      <c r="D87" s="76" t="s">
        <v>2427</v>
      </c>
      <c r="E87" s="121" t="s">
        <v>2431</v>
      </c>
      <c r="F87" s="35" t="s">
        <v>2432</v>
      </c>
      <c r="G87" s="33">
        <f t="shared" si="27"/>
        <v>0</v>
      </c>
      <c r="H87" s="33"/>
      <c r="I87" s="33"/>
      <c r="J87" s="33"/>
      <c r="K87" s="33"/>
      <c r="L87" s="33"/>
      <c r="M87" s="54">
        <f t="shared" si="28"/>
        <v>4</v>
      </c>
      <c r="N87" s="54"/>
      <c r="O87" s="54">
        <v>4</v>
      </c>
      <c r="P87" s="54"/>
      <c r="Q87" s="68">
        <f t="shared" si="29"/>
        <v>0</v>
      </c>
      <c r="R87" s="68"/>
      <c r="S87" s="68"/>
      <c r="T87" s="68"/>
      <c r="U87" s="129"/>
      <c r="V87" s="54">
        <f t="shared" si="30"/>
        <v>4</v>
      </c>
      <c r="W87" s="92" t="s">
        <v>491</v>
      </c>
    </row>
    <row r="88" s="4" customFormat="1" ht="26.25" customHeight="1" spans="1:23">
      <c r="A88" s="117" t="s">
        <v>2417</v>
      </c>
      <c r="B88" s="29" t="s">
        <v>2419</v>
      </c>
      <c r="C88" s="118" t="s">
        <v>2433</v>
      </c>
      <c r="D88" s="119" t="s">
        <v>2434</v>
      </c>
      <c r="E88" s="30" t="s">
        <v>2435</v>
      </c>
      <c r="F88" s="32" t="s">
        <v>2436</v>
      </c>
      <c r="G88" s="33">
        <f t="shared" si="27"/>
        <v>15</v>
      </c>
      <c r="H88" s="33">
        <v>15</v>
      </c>
      <c r="I88" s="33"/>
      <c r="J88" s="33"/>
      <c r="K88" s="33"/>
      <c r="L88" s="33"/>
      <c r="M88" s="54">
        <f t="shared" si="28"/>
        <v>0</v>
      </c>
      <c r="N88" s="54"/>
      <c r="O88" s="54"/>
      <c r="P88" s="54"/>
      <c r="Q88" s="68">
        <f t="shared" si="29"/>
        <v>0</v>
      </c>
      <c r="R88" s="68"/>
      <c r="S88" s="68"/>
      <c r="T88" s="68"/>
      <c r="U88" s="129"/>
      <c r="V88" s="33">
        <f t="shared" si="30"/>
        <v>15</v>
      </c>
      <c r="W88" s="130" t="s">
        <v>2283</v>
      </c>
    </row>
    <row r="89" s="4" customFormat="1" ht="26.25" customHeight="1" spans="1:23">
      <c r="A89" s="117" t="s">
        <v>2417</v>
      </c>
      <c r="B89" s="29" t="s">
        <v>2419</v>
      </c>
      <c r="C89" s="35" t="s">
        <v>2433</v>
      </c>
      <c r="D89" s="38" t="s">
        <v>2434</v>
      </c>
      <c r="E89" s="121" t="s">
        <v>2435</v>
      </c>
      <c r="F89" s="38" t="s">
        <v>2436</v>
      </c>
      <c r="G89" s="33">
        <f t="shared" si="27"/>
        <v>0</v>
      </c>
      <c r="H89" s="33"/>
      <c r="I89" s="33"/>
      <c r="J89" s="33"/>
      <c r="K89" s="33"/>
      <c r="L89" s="33"/>
      <c r="M89" s="54">
        <f t="shared" si="28"/>
        <v>0</v>
      </c>
      <c r="N89" s="54"/>
      <c r="O89" s="54"/>
      <c r="P89" s="54"/>
      <c r="Q89" s="68">
        <f t="shared" si="29"/>
        <v>10</v>
      </c>
      <c r="R89" s="68"/>
      <c r="S89" s="68">
        <v>10</v>
      </c>
      <c r="T89" s="68"/>
      <c r="U89" s="129"/>
      <c r="V89" s="68">
        <f t="shared" si="30"/>
        <v>10</v>
      </c>
      <c r="W89" s="91" t="s">
        <v>2437</v>
      </c>
    </row>
    <row r="90" s="4" customFormat="1" ht="26.25" customHeight="1" spans="1:23">
      <c r="A90" s="117" t="s">
        <v>2417</v>
      </c>
      <c r="B90" s="29" t="s">
        <v>2419</v>
      </c>
      <c r="C90" s="49" t="s">
        <v>2438</v>
      </c>
      <c r="D90" s="88" t="s">
        <v>2439</v>
      </c>
      <c r="E90" s="126" t="s">
        <v>2422</v>
      </c>
      <c r="F90" s="88" t="s">
        <v>2423</v>
      </c>
      <c r="G90" s="33">
        <f t="shared" si="27"/>
        <v>0</v>
      </c>
      <c r="H90" s="33"/>
      <c r="I90" s="33"/>
      <c r="J90" s="33"/>
      <c r="K90" s="33"/>
      <c r="L90" s="33"/>
      <c r="M90" s="54">
        <f t="shared" si="28"/>
        <v>0</v>
      </c>
      <c r="N90" s="54"/>
      <c r="O90" s="54"/>
      <c r="P90" s="54"/>
      <c r="Q90" s="68">
        <f t="shared" si="29"/>
        <v>4</v>
      </c>
      <c r="R90" s="68"/>
      <c r="S90" s="68">
        <v>4</v>
      </c>
      <c r="T90" s="68"/>
      <c r="U90" s="129"/>
      <c r="V90" s="68">
        <f t="shared" si="30"/>
        <v>4</v>
      </c>
      <c r="W90" s="131" t="s">
        <v>2440</v>
      </c>
    </row>
    <row r="91" s="4" customFormat="1" ht="26.25" customHeight="1" spans="1:23">
      <c r="A91" s="117" t="s">
        <v>2417</v>
      </c>
      <c r="B91" s="29" t="s">
        <v>2419</v>
      </c>
      <c r="C91" s="118" t="s">
        <v>2334</v>
      </c>
      <c r="D91" s="29" t="s">
        <v>2335</v>
      </c>
      <c r="E91" s="30" t="s">
        <v>2441</v>
      </c>
      <c r="F91" s="32" t="s">
        <v>929</v>
      </c>
      <c r="G91" s="33">
        <f t="shared" si="27"/>
        <v>100</v>
      </c>
      <c r="H91" s="33">
        <v>100</v>
      </c>
      <c r="I91" s="33"/>
      <c r="J91" s="33"/>
      <c r="K91" s="33">
        <v>-80</v>
      </c>
      <c r="L91" s="33"/>
      <c r="M91" s="54">
        <f t="shared" si="28"/>
        <v>0</v>
      </c>
      <c r="N91" s="54"/>
      <c r="O91" s="54"/>
      <c r="P91" s="54"/>
      <c r="Q91" s="68">
        <f t="shared" si="29"/>
        <v>0</v>
      </c>
      <c r="R91" s="68"/>
      <c r="S91" s="68"/>
      <c r="T91" s="68"/>
      <c r="U91" s="129">
        <v>8.1</v>
      </c>
      <c r="V91" s="33">
        <f t="shared" si="30"/>
        <v>11.9</v>
      </c>
      <c r="W91" s="130" t="s">
        <v>2283</v>
      </c>
    </row>
    <row r="92" s="4" customFormat="1" ht="26.25" customHeight="1" spans="1:23">
      <c r="A92" s="117" t="s">
        <v>2417</v>
      </c>
      <c r="B92" s="29" t="s">
        <v>2419</v>
      </c>
      <c r="C92" s="118">
        <v>2013802</v>
      </c>
      <c r="D92" s="29" t="s">
        <v>2083</v>
      </c>
      <c r="E92" s="30"/>
      <c r="F92" s="32" t="s">
        <v>2442</v>
      </c>
      <c r="G92" s="33"/>
      <c r="H92" s="33"/>
      <c r="I92" s="33"/>
      <c r="J92" s="33"/>
      <c r="K92" s="33">
        <v>80</v>
      </c>
      <c r="L92" s="33"/>
      <c r="M92" s="54"/>
      <c r="N92" s="54"/>
      <c r="O92" s="54"/>
      <c r="P92" s="54"/>
      <c r="Q92" s="68"/>
      <c r="R92" s="68"/>
      <c r="S92" s="68"/>
      <c r="T92" s="68"/>
      <c r="U92" s="129"/>
      <c r="V92" s="33">
        <f t="shared" si="30"/>
        <v>80</v>
      </c>
      <c r="W92" s="130" t="s">
        <v>2283</v>
      </c>
    </row>
    <row r="93" s="4" customFormat="1" ht="26.25" customHeight="1" spans="1:23">
      <c r="A93" s="117" t="s">
        <v>2417</v>
      </c>
      <c r="B93" s="29" t="s">
        <v>2419</v>
      </c>
      <c r="C93" s="35" t="s">
        <v>2334</v>
      </c>
      <c r="D93" s="38" t="s">
        <v>2335</v>
      </c>
      <c r="E93" s="35" t="s">
        <v>2441</v>
      </c>
      <c r="F93" s="38" t="s">
        <v>929</v>
      </c>
      <c r="G93" s="33">
        <f>SUM(H93:J93)</f>
        <v>0</v>
      </c>
      <c r="H93" s="33"/>
      <c r="I93" s="33"/>
      <c r="J93" s="33"/>
      <c r="K93" s="33"/>
      <c r="L93" s="33"/>
      <c r="M93" s="54">
        <f>N93+O93-P93</f>
        <v>0</v>
      </c>
      <c r="N93" s="54"/>
      <c r="O93" s="54"/>
      <c r="P93" s="54"/>
      <c r="Q93" s="68">
        <f>R93+S93-T93</f>
        <v>10.4015</v>
      </c>
      <c r="R93" s="68"/>
      <c r="S93" s="68">
        <v>10.4015</v>
      </c>
      <c r="T93" s="68"/>
      <c r="U93" s="129"/>
      <c r="V93" s="68">
        <f t="shared" si="30"/>
        <v>10.4015</v>
      </c>
      <c r="W93" s="91" t="s">
        <v>2443</v>
      </c>
    </row>
    <row r="94" s="4" customFormat="1" ht="26.25" customHeight="1" spans="1:23">
      <c r="A94" s="115" t="s">
        <v>2444</v>
      </c>
      <c r="B94" s="23" t="s">
        <v>1288</v>
      </c>
      <c r="C94" s="116"/>
      <c r="D94" s="116"/>
      <c r="E94" s="84"/>
      <c r="F94" s="26"/>
      <c r="G94" s="27">
        <f t="shared" ref="G94:V94" si="31">SUM(G95:G101)</f>
        <v>323.5</v>
      </c>
      <c r="H94" s="27">
        <f t="shared" si="31"/>
        <v>323.5</v>
      </c>
      <c r="I94" s="27">
        <f t="shared" si="31"/>
        <v>0</v>
      </c>
      <c r="J94" s="27">
        <f t="shared" si="31"/>
        <v>0</v>
      </c>
      <c r="K94" s="27">
        <f t="shared" si="31"/>
        <v>1.2</v>
      </c>
      <c r="L94" s="27">
        <f t="shared" si="31"/>
        <v>0</v>
      </c>
      <c r="M94" s="27">
        <f t="shared" si="31"/>
        <v>0</v>
      </c>
      <c r="N94" s="27">
        <f t="shared" si="31"/>
        <v>0</v>
      </c>
      <c r="O94" s="27">
        <f t="shared" si="31"/>
        <v>0</v>
      </c>
      <c r="P94" s="27">
        <f t="shared" si="31"/>
        <v>0</v>
      </c>
      <c r="Q94" s="27">
        <f t="shared" si="31"/>
        <v>55</v>
      </c>
      <c r="R94" s="27">
        <f t="shared" si="31"/>
        <v>0</v>
      </c>
      <c r="S94" s="27">
        <f t="shared" si="31"/>
        <v>55</v>
      </c>
      <c r="T94" s="27">
        <f t="shared" si="31"/>
        <v>0</v>
      </c>
      <c r="U94" s="27">
        <f t="shared" si="31"/>
        <v>16.4525</v>
      </c>
      <c r="V94" s="27">
        <f t="shared" si="31"/>
        <v>363.2475</v>
      </c>
      <c r="W94" s="67"/>
    </row>
    <row r="95" s="4" customFormat="1" ht="26.25" customHeight="1" spans="1:23">
      <c r="A95" s="117" t="s">
        <v>2444</v>
      </c>
      <c r="B95" s="29" t="s">
        <v>1514</v>
      </c>
      <c r="C95" s="118" t="s">
        <v>2445</v>
      </c>
      <c r="D95" s="119" t="s">
        <v>2083</v>
      </c>
      <c r="E95" s="30" t="s">
        <v>2446</v>
      </c>
      <c r="F95" s="32" t="s">
        <v>931</v>
      </c>
      <c r="G95" s="33">
        <f t="shared" ref="G95:G101" si="32">SUM(H95:J95)</f>
        <v>4.5</v>
      </c>
      <c r="H95" s="33">
        <v>4.5</v>
      </c>
      <c r="I95" s="33"/>
      <c r="J95" s="33"/>
      <c r="K95" s="55">
        <v>-3</v>
      </c>
      <c r="L95" s="33"/>
      <c r="M95" s="54">
        <f t="shared" ref="M95:M101" si="33">N95+O95-P95</f>
        <v>0</v>
      </c>
      <c r="N95" s="54"/>
      <c r="O95" s="54"/>
      <c r="P95" s="54"/>
      <c r="Q95" s="68">
        <f t="shared" ref="Q95:Q101" si="34">R95+S95-T95</f>
        <v>0</v>
      </c>
      <c r="R95" s="68"/>
      <c r="S95" s="68"/>
      <c r="T95" s="68"/>
      <c r="U95" s="129">
        <v>0.73</v>
      </c>
      <c r="V95" s="33">
        <f t="shared" ref="V95:V101" si="35">G95+K95+L95+M95+Q95-U95</f>
        <v>0.77</v>
      </c>
      <c r="W95" s="130" t="s">
        <v>2283</v>
      </c>
    </row>
    <row r="96" s="4" customFormat="1" ht="26.25" customHeight="1" spans="1:23">
      <c r="A96" s="117" t="s">
        <v>2444</v>
      </c>
      <c r="B96" s="29" t="s">
        <v>1514</v>
      </c>
      <c r="C96" s="118" t="s">
        <v>2445</v>
      </c>
      <c r="D96" s="119" t="s">
        <v>2083</v>
      </c>
      <c r="E96" s="30" t="s">
        <v>2447</v>
      </c>
      <c r="F96" s="32" t="s">
        <v>2448</v>
      </c>
      <c r="G96" s="33">
        <f t="shared" si="32"/>
        <v>9</v>
      </c>
      <c r="H96" s="33">
        <v>9</v>
      </c>
      <c r="I96" s="33"/>
      <c r="J96" s="33"/>
      <c r="K96" s="33"/>
      <c r="L96" s="33"/>
      <c r="M96" s="54">
        <f t="shared" si="33"/>
        <v>0</v>
      </c>
      <c r="N96" s="54"/>
      <c r="O96" s="54"/>
      <c r="P96" s="54"/>
      <c r="Q96" s="68">
        <f t="shared" si="34"/>
        <v>0</v>
      </c>
      <c r="R96" s="68"/>
      <c r="S96" s="68"/>
      <c r="T96" s="68"/>
      <c r="U96" s="129"/>
      <c r="V96" s="33">
        <f t="shared" si="35"/>
        <v>9</v>
      </c>
      <c r="W96" s="130" t="s">
        <v>2283</v>
      </c>
    </row>
    <row r="97" s="4" customFormat="1" ht="26.25" customHeight="1" spans="1:23">
      <c r="A97" s="117" t="s">
        <v>2444</v>
      </c>
      <c r="B97" s="29" t="s">
        <v>1514</v>
      </c>
      <c r="C97" s="118" t="s">
        <v>2445</v>
      </c>
      <c r="D97" s="119" t="s">
        <v>2083</v>
      </c>
      <c r="E97" s="30" t="s">
        <v>2449</v>
      </c>
      <c r="F97" s="32" t="s">
        <v>932</v>
      </c>
      <c r="G97" s="33">
        <f t="shared" si="32"/>
        <v>57</v>
      </c>
      <c r="H97" s="33">
        <v>57</v>
      </c>
      <c r="I97" s="33"/>
      <c r="J97" s="33"/>
      <c r="K97" s="33"/>
      <c r="L97" s="33"/>
      <c r="M97" s="54">
        <f t="shared" si="33"/>
        <v>0</v>
      </c>
      <c r="N97" s="54"/>
      <c r="O97" s="54"/>
      <c r="P97" s="54"/>
      <c r="Q97" s="68">
        <f t="shared" si="34"/>
        <v>0</v>
      </c>
      <c r="R97" s="68"/>
      <c r="S97" s="68"/>
      <c r="T97" s="68"/>
      <c r="U97" s="129">
        <v>15</v>
      </c>
      <c r="V97" s="33">
        <f t="shared" si="35"/>
        <v>42</v>
      </c>
      <c r="W97" s="130" t="s">
        <v>2283</v>
      </c>
    </row>
    <row r="98" s="4" customFormat="1" ht="26.25" customHeight="1" spans="1:23">
      <c r="A98" s="117" t="s">
        <v>2444</v>
      </c>
      <c r="B98" s="29" t="s">
        <v>1514</v>
      </c>
      <c r="C98" s="118" t="s">
        <v>2445</v>
      </c>
      <c r="D98" s="119" t="s">
        <v>2083</v>
      </c>
      <c r="E98" s="30" t="s">
        <v>2450</v>
      </c>
      <c r="F98" s="32" t="s">
        <v>933</v>
      </c>
      <c r="G98" s="33">
        <f t="shared" si="32"/>
        <v>2</v>
      </c>
      <c r="H98" s="33">
        <v>2</v>
      </c>
      <c r="I98" s="33"/>
      <c r="J98" s="33"/>
      <c r="K98" s="33"/>
      <c r="L98" s="33"/>
      <c r="M98" s="54">
        <f t="shared" si="33"/>
        <v>0</v>
      </c>
      <c r="N98" s="54"/>
      <c r="O98" s="54"/>
      <c r="P98" s="54"/>
      <c r="Q98" s="68">
        <f t="shared" si="34"/>
        <v>0</v>
      </c>
      <c r="R98" s="68"/>
      <c r="S98" s="68"/>
      <c r="T98" s="68"/>
      <c r="U98" s="129">
        <v>0.7225</v>
      </c>
      <c r="V98" s="33">
        <f t="shared" si="35"/>
        <v>1.2775</v>
      </c>
      <c r="W98" s="130" t="s">
        <v>2283</v>
      </c>
    </row>
    <row r="99" s="4" customFormat="1" ht="26.25" customHeight="1" spans="1:23">
      <c r="A99" s="117" t="s">
        <v>2444</v>
      </c>
      <c r="B99" s="29" t="s">
        <v>1514</v>
      </c>
      <c r="C99" s="118" t="s">
        <v>2445</v>
      </c>
      <c r="D99" s="86" t="s">
        <v>2083</v>
      </c>
      <c r="E99" s="121" t="s">
        <v>2451</v>
      </c>
      <c r="F99" s="38" t="s">
        <v>2452</v>
      </c>
      <c r="G99" s="33">
        <f t="shared" si="32"/>
        <v>0</v>
      </c>
      <c r="H99" s="33"/>
      <c r="I99" s="33"/>
      <c r="J99" s="33"/>
      <c r="K99" s="33"/>
      <c r="L99" s="33"/>
      <c r="M99" s="54">
        <f t="shared" si="33"/>
        <v>0</v>
      </c>
      <c r="N99" s="54"/>
      <c r="O99" s="54"/>
      <c r="P99" s="54"/>
      <c r="Q99" s="68">
        <f t="shared" si="34"/>
        <v>55</v>
      </c>
      <c r="R99" s="68"/>
      <c r="S99" s="68">
        <v>55</v>
      </c>
      <c r="T99" s="68"/>
      <c r="U99" s="129"/>
      <c r="V99" s="68">
        <f t="shared" si="35"/>
        <v>55</v>
      </c>
      <c r="W99" s="131" t="s">
        <v>2453</v>
      </c>
    </row>
    <row r="100" s="4" customFormat="1" ht="26.25" customHeight="1" spans="1:23">
      <c r="A100" s="117" t="s">
        <v>2444</v>
      </c>
      <c r="B100" s="29" t="s">
        <v>1514</v>
      </c>
      <c r="C100" s="118" t="s">
        <v>2445</v>
      </c>
      <c r="D100" s="119" t="s">
        <v>2083</v>
      </c>
      <c r="E100" s="121" t="s">
        <v>2454</v>
      </c>
      <c r="F100" s="35" t="s">
        <v>2317</v>
      </c>
      <c r="G100" s="33">
        <f t="shared" si="32"/>
        <v>0</v>
      </c>
      <c r="H100" s="33"/>
      <c r="I100" s="33"/>
      <c r="J100" s="33"/>
      <c r="K100" s="55">
        <v>4.2</v>
      </c>
      <c r="L100" s="33"/>
      <c r="M100" s="54">
        <f t="shared" si="33"/>
        <v>0</v>
      </c>
      <c r="N100" s="54"/>
      <c r="O100" s="54"/>
      <c r="P100" s="54"/>
      <c r="Q100" s="68">
        <f t="shared" si="34"/>
        <v>0</v>
      </c>
      <c r="R100" s="68"/>
      <c r="S100" s="68"/>
      <c r="T100" s="68"/>
      <c r="U100" s="129"/>
      <c r="V100" s="33">
        <f t="shared" si="35"/>
        <v>4.2</v>
      </c>
      <c r="W100" s="130" t="s">
        <v>2283</v>
      </c>
    </row>
    <row r="101" s="4" customFormat="1" ht="26.25" customHeight="1" spans="1:23">
      <c r="A101" s="117" t="s">
        <v>2444</v>
      </c>
      <c r="B101" s="29" t="s">
        <v>1514</v>
      </c>
      <c r="C101" s="118" t="s">
        <v>2455</v>
      </c>
      <c r="D101" s="119" t="s">
        <v>2456</v>
      </c>
      <c r="E101" s="30" t="s">
        <v>2457</v>
      </c>
      <c r="F101" s="32" t="s">
        <v>2458</v>
      </c>
      <c r="G101" s="33">
        <f t="shared" si="32"/>
        <v>251</v>
      </c>
      <c r="H101" s="33">
        <v>251</v>
      </c>
      <c r="I101" s="33"/>
      <c r="J101" s="33"/>
      <c r="K101" s="33"/>
      <c r="L101" s="33"/>
      <c r="M101" s="54">
        <f t="shared" si="33"/>
        <v>0</v>
      </c>
      <c r="N101" s="54"/>
      <c r="O101" s="54"/>
      <c r="P101" s="54"/>
      <c r="Q101" s="68">
        <f t="shared" si="34"/>
        <v>0</v>
      </c>
      <c r="R101" s="68"/>
      <c r="S101" s="68"/>
      <c r="T101" s="68"/>
      <c r="U101" s="129"/>
      <c r="V101" s="33">
        <f t="shared" si="35"/>
        <v>251</v>
      </c>
      <c r="W101" s="130" t="s">
        <v>2283</v>
      </c>
    </row>
    <row r="102" s="4" customFormat="1" ht="26.25" customHeight="1" spans="1:23">
      <c r="A102" s="115" t="s">
        <v>2459</v>
      </c>
      <c r="B102" s="23" t="s">
        <v>2460</v>
      </c>
      <c r="C102" s="116"/>
      <c r="D102" s="116"/>
      <c r="E102" s="84"/>
      <c r="F102" s="26"/>
      <c r="G102" s="27">
        <f t="shared" ref="G102:V102" si="36">SUM(G103:G104)</f>
        <v>100</v>
      </c>
      <c r="H102" s="27">
        <f t="shared" si="36"/>
        <v>100</v>
      </c>
      <c r="I102" s="27">
        <f t="shared" si="36"/>
        <v>0</v>
      </c>
      <c r="J102" s="27">
        <f t="shared" si="36"/>
        <v>0</v>
      </c>
      <c r="K102" s="27">
        <f t="shared" si="36"/>
        <v>1.92</v>
      </c>
      <c r="L102" s="27">
        <f t="shared" si="36"/>
        <v>0</v>
      </c>
      <c r="M102" s="27">
        <f t="shared" si="36"/>
        <v>0</v>
      </c>
      <c r="N102" s="27">
        <f t="shared" si="36"/>
        <v>0</v>
      </c>
      <c r="O102" s="27">
        <f t="shared" si="36"/>
        <v>0</v>
      </c>
      <c r="P102" s="27">
        <f t="shared" si="36"/>
        <v>0</v>
      </c>
      <c r="Q102" s="27">
        <f t="shared" si="36"/>
        <v>0</v>
      </c>
      <c r="R102" s="27">
        <f t="shared" si="36"/>
        <v>0</v>
      </c>
      <c r="S102" s="27">
        <f t="shared" si="36"/>
        <v>0</v>
      </c>
      <c r="T102" s="27">
        <f t="shared" si="36"/>
        <v>0</v>
      </c>
      <c r="U102" s="27">
        <f t="shared" si="36"/>
        <v>10</v>
      </c>
      <c r="V102" s="27">
        <f t="shared" si="36"/>
        <v>91.92</v>
      </c>
      <c r="W102" s="67"/>
    </row>
    <row r="103" s="4" customFormat="1" ht="26.25" customHeight="1" spans="1:23">
      <c r="A103" s="117" t="s">
        <v>2459</v>
      </c>
      <c r="B103" s="29" t="s">
        <v>2461</v>
      </c>
      <c r="C103" s="35" t="s">
        <v>2462</v>
      </c>
      <c r="D103" s="47" t="s">
        <v>2083</v>
      </c>
      <c r="E103" s="121" t="s">
        <v>2463</v>
      </c>
      <c r="F103" s="35" t="s">
        <v>2317</v>
      </c>
      <c r="G103" s="33">
        <f t="shared" ref="G103:G113" si="37">SUM(H103:J103)</f>
        <v>0</v>
      </c>
      <c r="H103" s="33"/>
      <c r="I103" s="33"/>
      <c r="J103" s="33"/>
      <c r="K103" s="55">
        <v>1.92</v>
      </c>
      <c r="L103" s="33"/>
      <c r="M103" s="54">
        <f t="shared" ref="M103:M114" si="38">N103+O103-P103</f>
        <v>0</v>
      </c>
      <c r="N103" s="54"/>
      <c r="O103" s="54"/>
      <c r="P103" s="54"/>
      <c r="Q103" s="68">
        <f t="shared" ref="Q103:Q114" si="39">R103+S103-T103</f>
        <v>0</v>
      </c>
      <c r="R103" s="68"/>
      <c r="S103" s="68"/>
      <c r="T103" s="68"/>
      <c r="U103" s="129"/>
      <c r="V103" s="33">
        <f t="shared" ref="V103:V114" si="40">G103+K103+L103+M103+Q103-U103</f>
        <v>1.92</v>
      </c>
      <c r="W103" s="130" t="s">
        <v>2283</v>
      </c>
    </row>
    <row r="104" s="4" customFormat="1" ht="26.25" customHeight="1" spans="1:23">
      <c r="A104" s="117" t="s">
        <v>2459</v>
      </c>
      <c r="B104" s="29" t="s">
        <v>2461</v>
      </c>
      <c r="C104" s="118" t="s">
        <v>2464</v>
      </c>
      <c r="D104" s="119" t="s">
        <v>935</v>
      </c>
      <c r="E104" s="30" t="s">
        <v>2465</v>
      </c>
      <c r="F104" s="32" t="s">
        <v>935</v>
      </c>
      <c r="G104" s="33">
        <f t="shared" si="37"/>
        <v>100</v>
      </c>
      <c r="H104" s="33">
        <v>100</v>
      </c>
      <c r="I104" s="33"/>
      <c r="J104" s="33"/>
      <c r="K104" s="33"/>
      <c r="L104" s="33"/>
      <c r="M104" s="54">
        <f t="shared" si="38"/>
        <v>0</v>
      </c>
      <c r="N104" s="54"/>
      <c r="O104" s="54"/>
      <c r="P104" s="54"/>
      <c r="Q104" s="68">
        <f t="shared" si="39"/>
        <v>0</v>
      </c>
      <c r="R104" s="68"/>
      <c r="S104" s="68"/>
      <c r="T104" s="68"/>
      <c r="U104" s="129">
        <v>10</v>
      </c>
      <c r="V104" s="33">
        <f t="shared" si="40"/>
        <v>90</v>
      </c>
      <c r="W104" s="130" t="s">
        <v>2283</v>
      </c>
    </row>
    <row r="105" s="4" customFormat="1" ht="26.25" customHeight="1" spans="1:23">
      <c r="A105" s="115" t="s">
        <v>2466</v>
      </c>
      <c r="B105" s="23" t="s">
        <v>2467</v>
      </c>
      <c r="C105" s="116"/>
      <c r="D105" s="116"/>
      <c r="E105" s="84"/>
      <c r="F105" s="26"/>
      <c r="G105" s="27">
        <f t="shared" ref="G105:V105" si="41">SUM(G106:G114)</f>
        <v>88.47</v>
      </c>
      <c r="H105" s="27">
        <f t="shared" si="41"/>
        <v>88.47</v>
      </c>
      <c r="I105" s="27">
        <f t="shared" si="41"/>
        <v>0</v>
      </c>
      <c r="J105" s="27">
        <f t="shared" si="41"/>
        <v>0</v>
      </c>
      <c r="K105" s="27">
        <f t="shared" si="41"/>
        <v>1.4</v>
      </c>
      <c r="L105" s="27">
        <f t="shared" si="41"/>
        <v>12</v>
      </c>
      <c r="M105" s="27">
        <f t="shared" si="41"/>
        <v>0</v>
      </c>
      <c r="N105" s="27">
        <f t="shared" si="41"/>
        <v>0</v>
      </c>
      <c r="O105" s="27">
        <f t="shared" si="41"/>
        <v>0</v>
      </c>
      <c r="P105" s="27">
        <f t="shared" si="41"/>
        <v>0</v>
      </c>
      <c r="Q105" s="27">
        <f t="shared" si="41"/>
        <v>3.402</v>
      </c>
      <c r="R105" s="27">
        <f t="shared" si="41"/>
        <v>0</v>
      </c>
      <c r="S105" s="27">
        <f t="shared" si="41"/>
        <v>3.402</v>
      </c>
      <c r="T105" s="27">
        <f t="shared" si="41"/>
        <v>0</v>
      </c>
      <c r="U105" s="27">
        <f t="shared" si="41"/>
        <v>0</v>
      </c>
      <c r="V105" s="27">
        <f t="shared" si="41"/>
        <v>105.272</v>
      </c>
      <c r="W105" s="67"/>
    </row>
    <row r="106" s="4" customFormat="1" ht="26.25" customHeight="1" spans="1:23">
      <c r="A106" s="117" t="s">
        <v>2466</v>
      </c>
      <c r="B106" s="29" t="s">
        <v>2468</v>
      </c>
      <c r="C106" s="35" t="s">
        <v>2280</v>
      </c>
      <c r="D106" s="47" t="s">
        <v>2083</v>
      </c>
      <c r="E106" s="121" t="s">
        <v>2469</v>
      </c>
      <c r="F106" s="35" t="s">
        <v>2470</v>
      </c>
      <c r="G106" s="33">
        <f t="shared" si="37"/>
        <v>0</v>
      </c>
      <c r="H106" s="33"/>
      <c r="I106" s="33"/>
      <c r="J106" s="33"/>
      <c r="K106" s="55">
        <v>1.4</v>
      </c>
      <c r="L106" s="33"/>
      <c r="M106" s="54">
        <f t="shared" si="38"/>
        <v>0</v>
      </c>
      <c r="N106" s="54"/>
      <c r="O106" s="54"/>
      <c r="P106" s="54"/>
      <c r="Q106" s="68">
        <f t="shared" si="39"/>
        <v>0</v>
      </c>
      <c r="R106" s="68"/>
      <c r="S106" s="68"/>
      <c r="T106" s="68"/>
      <c r="U106" s="129"/>
      <c r="V106" s="33">
        <f t="shared" si="40"/>
        <v>1.4</v>
      </c>
      <c r="W106" s="130" t="s">
        <v>2283</v>
      </c>
    </row>
    <row r="107" s="4" customFormat="1" ht="26.25" customHeight="1" spans="1:23">
      <c r="A107" s="117" t="s">
        <v>2466</v>
      </c>
      <c r="B107" s="29" t="s">
        <v>2468</v>
      </c>
      <c r="C107" s="118" t="s">
        <v>2471</v>
      </c>
      <c r="D107" s="119" t="s">
        <v>2083</v>
      </c>
      <c r="E107" s="30" t="s">
        <v>2472</v>
      </c>
      <c r="F107" s="32" t="s">
        <v>2473</v>
      </c>
      <c r="G107" s="33">
        <f t="shared" si="37"/>
        <v>8</v>
      </c>
      <c r="H107" s="33">
        <v>8</v>
      </c>
      <c r="I107" s="33"/>
      <c r="J107" s="33"/>
      <c r="K107" s="33"/>
      <c r="L107" s="33"/>
      <c r="M107" s="54">
        <f t="shared" si="38"/>
        <v>0</v>
      </c>
      <c r="N107" s="54"/>
      <c r="O107" s="54"/>
      <c r="P107" s="54"/>
      <c r="Q107" s="68">
        <f t="shared" si="39"/>
        <v>0</v>
      </c>
      <c r="R107" s="68"/>
      <c r="S107" s="68"/>
      <c r="T107" s="68"/>
      <c r="U107" s="129"/>
      <c r="V107" s="33">
        <f t="shared" si="40"/>
        <v>8</v>
      </c>
      <c r="W107" s="130" t="s">
        <v>2283</v>
      </c>
    </row>
    <row r="108" s="4" customFormat="1" ht="26.25" customHeight="1" spans="1:23">
      <c r="A108" s="117" t="s">
        <v>2466</v>
      </c>
      <c r="B108" s="29" t="s">
        <v>2468</v>
      </c>
      <c r="C108" s="118" t="s">
        <v>2471</v>
      </c>
      <c r="D108" s="119" t="s">
        <v>2083</v>
      </c>
      <c r="E108" s="30" t="s">
        <v>2474</v>
      </c>
      <c r="F108" s="32" t="s">
        <v>937</v>
      </c>
      <c r="G108" s="33">
        <f t="shared" si="37"/>
        <v>5</v>
      </c>
      <c r="H108" s="33">
        <v>5</v>
      </c>
      <c r="I108" s="33"/>
      <c r="J108" s="33"/>
      <c r="K108" s="33"/>
      <c r="L108" s="128">
        <v>10</v>
      </c>
      <c r="M108" s="54">
        <f t="shared" si="38"/>
        <v>0</v>
      </c>
      <c r="N108" s="54"/>
      <c r="O108" s="54"/>
      <c r="P108" s="54"/>
      <c r="Q108" s="68">
        <f t="shared" si="39"/>
        <v>0</v>
      </c>
      <c r="R108" s="68"/>
      <c r="S108" s="68"/>
      <c r="T108" s="68"/>
      <c r="U108" s="129"/>
      <c r="V108" s="33">
        <f t="shared" si="40"/>
        <v>15</v>
      </c>
      <c r="W108" s="130" t="s">
        <v>2283</v>
      </c>
    </row>
    <row r="109" s="4" customFormat="1" ht="26.25" customHeight="1" spans="1:23">
      <c r="A109" s="117" t="s">
        <v>2466</v>
      </c>
      <c r="B109" s="29" t="s">
        <v>2468</v>
      </c>
      <c r="C109" s="118" t="s">
        <v>2471</v>
      </c>
      <c r="D109" s="119" t="s">
        <v>2083</v>
      </c>
      <c r="E109" s="30" t="s">
        <v>2475</v>
      </c>
      <c r="F109" s="32" t="s">
        <v>2476</v>
      </c>
      <c r="G109" s="33">
        <f t="shared" si="37"/>
        <v>6.97</v>
      </c>
      <c r="H109" s="33">
        <v>6.97</v>
      </c>
      <c r="I109" s="33"/>
      <c r="J109" s="33"/>
      <c r="K109" s="33"/>
      <c r="L109" s="33"/>
      <c r="M109" s="54">
        <f t="shared" si="38"/>
        <v>0</v>
      </c>
      <c r="N109" s="54"/>
      <c r="O109" s="54"/>
      <c r="P109" s="54"/>
      <c r="Q109" s="68">
        <f t="shared" si="39"/>
        <v>0</v>
      </c>
      <c r="R109" s="68"/>
      <c r="S109" s="68"/>
      <c r="T109" s="68"/>
      <c r="U109" s="129"/>
      <c r="V109" s="33">
        <f t="shared" si="40"/>
        <v>6.97</v>
      </c>
      <c r="W109" s="130" t="s">
        <v>2283</v>
      </c>
    </row>
    <row r="110" s="4" customFormat="1" ht="26.25" customHeight="1" spans="1:23">
      <c r="A110" s="117" t="s">
        <v>2466</v>
      </c>
      <c r="B110" s="29" t="s">
        <v>2468</v>
      </c>
      <c r="C110" s="118" t="s">
        <v>2477</v>
      </c>
      <c r="D110" s="119" t="s">
        <v>2478</v>
      </c>
      <c r="E110" s="30" t="s">
        <v>2479</v>
      </c>
      <c r="F110" s="32" t="s">
        <v>939</v>
      </c>
      <c r="G110" s="33">
        <f t="shared" si="37"/>
        <v>30</v>
      </c>
      <c r="H110" s="33">
        <v>30</v>
      </c>
      <c r="I110" s="33"/>
      <c r="J110" s="33"/>
      <c r="K110" s="33"/>
      <c r="L110" s="33">
        <v>2</v>
      </c>
      <c r="M110" s="54">
        <f t="shared" si="38"/>
        <v>0</v>
      </c>
      <c r="N110" s="54"/>
      <c r="O110" s="54"/>
      <c r="P110" s="54"/>
      <c r="Q110" s="68">
        <f t="shared" si="39"/>
        <v>0</v>
      </c>
      <c r="R110" s="68"/>
      <c r="S110" s="68"/>
      <c r="T110" s="68"/>
      <c r="U110" s="129"/>
      <c r="V110" s="33">
        <f t="shared" si="40"/>
        <v>32</v>
      </c>
      <c r="W110" s="130" t="s">
        <v>2283</v>
      </c>
    </row>
    <row r="111" s="4" customFormat="1" ht="26.25" customHeight="1" spans="1:23">
      <c r="A111" s="117" t="s">
        <v>2466</v>
      </c>
      <c r="B111" s="29" t="s">
        <v>2468</v>
      </c>
      <c r="C111" s="118" t="s">
        <v>2477</v>
      </c>
      <c r="D111" s="119" t="s">
        <v>2478</v>
      </c>
      <c r="E111" s="37" t="s">
        <v>2480</v>
      </c>
      <c r="F111" s="32" t="s">
        <v>2481</v>
      </c>
      <c r="G111" s="33">
        <f t="shared" si="37"/>
        <v>25</v>
      </c>
      <c r="H111" s="33">
        <v>25</v>
      </c>
      <c r="I111" s="33"/>
      <c r="J111" s="33"/>
      <c r="K111" s="33"/>
      <c r="L111" s="33"/>
      <c r="M111" s="54">
        <f t="shared" si="38"/>
        <v>0</v>
      </c>
      <c r="N111" s="54"/>
      <c r="O111" s="54"/>
      <c r="P111" s="54"/>
      <c r="Q111" s="68">
        <f t="shared" si="39"/>
        <v>0</v>
      </c>
      <c r="R111" s="68"/>
      <c r="S111" s="68"/>
      <c r="T111" s="68"/>
      <c r="U111" s="129"/>
      <c r="V111" s="33">
        <f t="shared" si="40"/>
        <v>25</v>
      </c>
      <c r="W111" s="130" t="s">
        <v>2283</v>
      </c>
    </row>
    <row r="112" s="4" customFormat="1" ht="26.25" customHeight="1" spans="1:23">
      <c r="A112" s="117" t="s">
        <v>2466</v>
      </c>
      <c r="B112" s="29" t="s">
        <v>2468</v>
      </c>
      <c r="C112" s="118" t="s">
        <v>2482</v>
      </c>
      <c r="D112" s="119" t="s">
        <v>2483</v>
      </c>
      <c r="E112" s="37" t="s">
        <v>2484</v>
      </c>
      <c r="F112" s="32" t="s">
        <v>2485</v>
      </c>
      <c r="G112" s="33">
        <f t="shared" si="37"/>
        <v>10</v>
      </c>
      <c r="H112" s="33">
        <v>10</v>
      </c>
      <c r="I112" s="33"/>
      <c r="J112" s="33"/>
      <c r="K112" s="33"/>
      <c r="L112" s="33"/>
      <c r="M112" s="54">
        <f t="shared" si="38"/>
        <v>0</v>
      </c>
      <c r="N112" s="54"/>
      <c r="O112" s="54"/>
      <c r="P112" s="54"/>
      <c r="Q112" s="68">
        <f t="shared" si="39"/>
        <v>0</v>
      </c>
      <c r="R112" s="68"/>
      <c r="S112" s="68"/>
      <c r="T112" s="68"/>
      <c r="U112" s="129"/>
      <c r="V112" s="33">
        <f t="shared" si="40"/>
        <v>10</v>
      </c>
      <c r="W112" s="130" t="s">
        <v>2283</v>
      </c>
    </row>
    <row r="113" s="4" customFormat="1" ht="26.25" customHeight="1" spans="1:23">
      <c r="A113" s="117" t="s">
        <v>2466</v>
      </c>
      <c r="B113" s="29" t="s">
        <v>2468</v>
      </c>
      <c r="C113" s="118" t="s">
        <v>2229</v>
      </c>
      <c r="D113" s="82" t="s">
        <v>2227</v>
      </c>
      <c r="E113" s="37" t="s">
        <v>2484</v>
      </c>
      <c r="F113" s="32" t="s">
        <v>2485</v>
      </c>
      <c r="G113" s="33"/>
      <c r="H113" s="33"/>
      <c r="I113" s="33"/>
      <c r="J113" s="33"/>
      <c r="K113" s="33"/>
      <c r="L113" s="33"/>
      <c r="M113" s="54">
        <f t="shared" si="38"/>
        <v>0</v>
      </c>
      <c r="N113" s="54"/>
      <c r="O113" s="54"/>
      <c r="P113" s="54"/>
      <c r="Q113" s="68">
        <f t="shared" si="39"/>
        <v>3.402</v>
      </c>
      <c r="R113" s="68"/>
      <c r="S113" s="68">
        <v>3.402</v>
      </c>
      <c r="T113" s="68"/>
      <c r="U113" s="129"/>
      <c r="V113" s="68">
        <f t="shared" si="40"/>
        <v>3.402</v>
      </c>
      <c r="W113" s="91" t="s">
        <v>2486</v>
      </c>
    </row>
    <row r="114" s="4" customFormat="1" ht="26.25" customHeight="1" spans="1:23">
      <c r="A114" s="117" t="s">
        <v>2466</v>
      </c>
      <c r="B114" s="29" t="s">
        <v>2468</v>
      </c>
      <c r="C114" s="118" t="s">
        <v>2482</v>
      </c>
      <c r="D114" s="119" t="s">
        <v>2483</v>
      </c>
      <c r="E114" s="37" t="s">
        <v>2487</v>
      </c>
      <c r="F114" s="32" t="s">
        <v>2488</v>
      </c>
      <c r="G114" s="33">
        <f>SUM(H114:J114)</f>
        <v>3.5</v>
      </c>
      <c r="H114" s="33">
        <v>3.5</v>
      </c>
      <c r="I114" s="33"/>
      <c r="J114" s="33"/>
      <c r="K114" s="33"/>
      <c r="L114" s="33"/>
      <c r="M114" s="54">
        <f t="shared" si="38"/>
        <v>0</v>
      </c>
      <c r="N114" s="54"/>
      <c r="O114" s="54"/>
      <c r="P114" s="54"/>
      <c r="Q114" s="68">
        <f t="shared" si="39"/>
        <v>0</v>
      </c>
      <c r="R114" s="68"/>
      <c r="S114" s="68"/>
      <c r="T114" s="68"/>
      <c r="U114" s="129"/>
      <c r="V114" s="33">
        <f t="shared" si="40"/>
        <v>3.5</v>
      </c>
      <c r="W114" s="130" t="s">
        <v>2283</v>
      </c>
    </row>
    <row r="115" s="4" customFormat="1" ht="26.25" customHeight="1" spans="1:23">
      <c r="A115" s="115" t="s">
        <v>2489</v>
      </c>
      <c r="B115" s="23" t="s">
        <v>2490</v>
      </c>
      <c r="C115" s="116"/>
      <c r="D115" s="116"/>
      <c r="E115" s="84"/>
      <c r="F115" s="26"/>
      <c r="G115" s="27">
        <f t="shared" ref="G115:V115" si="42">SUM(G116:G123)</f>
        <v>1055</v>
      </c>
      <c r="H115" s="27">
        <f t="shared" si="42"/>
        <v>1055</v>
      </c>
      <c r="I115" s="27">
        <f t="shared" si="42"/>
        <v>0</v>
      </c>
      <c r="J115" s="27">
        <f t="shared" si="42"/>
        <v>0</v>
      </c>
      <c r="K115" s="27">
        <f t="shared" si="42"/>
        <v>-18.66</v>
      </c>
      <c r="L115" s="27">
        <f t="shared" si="42"/>
        <v>0</v>
      </c>
      <c r="M115" s="27">
        <f t="shared" si="42"/>
        <v>30</v>
      </c>
      <c r="N115" s="27">
        <f t="shared" si="42"/>
        <v>0</v>
      </c>
      <c r="O115" s="27">
        <f t="shared" si="42"/>
        <v>30</v>
      </c>
      <c r="P115" s="27">
        <f t="shared" si="42"/>
        <v>0</v>
      </c>
      <c r="Q115" s="27">
        <f t="shared" si="42"/>
        <v>22.24258</v>
      </c>
      <c r="R115" s="27">
        <f t="shared" si="42"/>
        <v>22.24258</v>
      </c>
      <c r="S115" s="27">
        <f t="shared" si="42"/>
        <v>0</v>
      </c>
      <c r="T115" s="27">
        <f t="shared" si="42"/>
        <v>0</v>
      </c>
      <c r="U115" s="27">
        <f t="shared" si="42"/>
        <v>310</v>
      </c>
      <c r="V115" s="27">
        <f t="shared" si="42"/>
        <v>778.58258</v>
      </c>
      <c r="W115" s="67"/>
    </row>
    <row r="116" s="4" customFormat="1" ht="26.25" customHeight="1" spans="1:23">
      <c r="A116" s="117" t="s">
        <v>2489</v>
      </c>
      <c r="B116" s="29" t="s">
        <v>2491</v>
      </c>
      <c r="C116" s="118" t="s">
        <v>2492</v>
      </c>
      <c r="D116" s="119" t="s">
        <v>2083</v>
      </c>
      <c r="E116" s="30" t="s">
        <v>2493</v>
      </c>
      <c r="F116" s="42" t="s">
        <v>2494</v>
      </c>
      <c r="G116" s="33">
        <f t="shared" ref="G116:G123" si="43">SUM(H116:J116)</f>
        <v>5</v>
      </c>
      <c r="H116" s="33">
        <v>5</v>
      </c>
      <c r="I116" s="33"/>
      <c r="J116" s="33"/>
      <c r="K116" s="33"/>
      <c r="L116" s="33"/>
      <c r="M116" s="54">
        <f t="shared" ref="M116:M123" si="44">N116+O116-P116</f>
        <v>0</v>
      </c>
      <c r="N116" s="54"/>
      <c r="O116" s="54"/>
      <c r="P116" s="54"/>
      <c r="Q116" s="68">
        <f t="shared" ref="Q116:Q123" si="45">R116+S116-T116</f>
        <v>0</v>
      </c>
      <c r="R116" s="68"/>
      <c r="S116" s="68"/>
      <c r="T116" s="68"/>
      <c r="U116" s="129"/>
      <c r="V116" s="33">
        <f t="shared" ref="V116:V123" si="46">G116+K116+L116+M116+Q116-U116</f>
        <v>5</v>
      </c>
      <c r="W116" s="130" t="s">
        <v>2283</v>
      </c>
    </row>
    <row r="117" s="4" customFormat="1" ht="26.25" customHeight="1" spans="1:23">
      <c r="A117" s="117" t="s">
        <v>2489</v>
      </c>
      <c r="B117" s="29" t="s">
        <v>2491</v>
      </c>
      <c r="C117" s="118" t="s">
        <v>2492</v>
      </c>
      <c r="D117" s="119" t="s">
        <v>2083</v>
      </c>
      <c r="E117" s="30" t="s">
        <v>2495</v>
      </c>
      <c r="F117" s="32" t="s">
        <v>2496</v>
      </c>
      <c r="G117" s="33">
        <f t="shared" si="43"/>
        <v>50</v>
      </c>
      <c r="H117" s="33">
        <v>50</v>
      </c>
      <c r="I117" s="33"/>
      <c r="J117" s="33"/>
      <c r="K117" s="33"/>
      <c r="L117" s="33"/>
      <c r="M117" s="54">
        <f t="shared" si="44"/>
        <v>0</v>
      </c>
      <c r="N117" s="54"/>
      <c r="O117" s="54"/>
      <c r="P117" s="54"/>
      <c r="Q117" s="68">
        <f t="shared" si="45"/>
        <v>0</v>
      </c>
      <c r="R117" s="68"/>
      <c r="S117" s="68"/>
      <c r="T117" s="68"/>
      <c r="U117" s="129"/>
      <c r="V117" s="33">
        <f t="shared" si="46"/>
        <v>50</v>
      </c>
      <c r="W117" s="130" t="s">
        <v>2283</v>
      </c>
    </row>
    <row r="118" s="4" customFormat="1" ht="26.25" customHeight="1" spans="1:23">
      <c r="A118" s="117" t="s">
        <v>2489</v>
      </c>
      <c r="B118" s="29" t="s">
        <v>2491</v>
      </c>
      <c r="C118" s="118" t="s">
        <v>2492</v>
      </c>
      <c r="D118" s="29" t="s">
        <v>2083</v>
      </c>
      <c r="E118" s="30" t="s">
        <v>2497</v>
      </c>
      <c r="F118" s="32" t="s">
        <v>941</v>
      </c>
      <c r="G118" s="33">
        <f t="shared" si="43"/>
        <v>800</v>
      </c>
      <c r="H118" s="33">
        <v>800</v>
      </c>
      <c r="I118" s="33"/>
      <c r="J118" s="33"/>
      <c r="K118" s="33">
        <v>-20</v>
      </c>
      <c r="L118" s="33"/>
      <c r="M118" s="54">
        <f t="shared" si="44"/>
        <v>0</v>
      </c>
      <c r="N118" s="54"/>
      <c r="O118" s="54"/>
      <c r="P118" s="54"/>
      <c r="Q118" s="68">
        <f t="shared" si="45"/>
        <v>0</v>
      </c>
      <c r="R118" s="68"/>
      <c r="S118" s="68"/>
      <c r="T118" s="68"/>
      <c r="U118" s="129">
        <f>280+30</f>
        <v>310</v>
      </c>
      <c r="V118" s="33">
        <f t="shared" si="46"/>
        <v>470</v>
      </c>
      <c r="W118" s="130" t="s">
        <v>2283</v>
      </c>
    </row>
    <row r="119" s="4" customFormat="1" ht="26.25" customHeight="1" spans="1:23">
      <c r="A119" s="117" t="s">
        <v>2489</v>
      </c>
      <c r="B119" s="29" t="s">
        <v>2491</v>
      </c>
      <c r="C119" s="118" t="s">
        <v>2492</v>
      </c>
      <c r="D119" s="86" t="s">
        <v>2083</v>
      </c>
      <c r="E119" s="30" t="s">
        <v>2497</v>
      </c>
      <c r="F119" s="86" t="s">
        <v>941</v>
      </c>
      <c r="G119" s="33">
        <f t="shared" si="43"/>
        <v>0</v>
      </c>
      <c r="H119" s="33"/>
      <c r="I119" s="33"/>
      <c r="J119" s="33"/>
      <c r="K119" s="33"/>
      <c r="L119" s="33"/>
      <c r="M119" s="54">
        <f t="shared" si="44"/>
        <v>0</v>
      </c>
      <c r="N119" s="54"/>
      <c r="O119" s="54"/>
      <c r="P119" s="54"/>
      <c r="Q119" s="68">
        <f t="shared" si="45"/>
        <v>20.56638</v>
      </c>
      <c r="R119" s="68">
        <v>20.56638</v>
      </c>
      <c r="S119" s="68"/>
      <c r="T119" s="68"/>
      <c r="U119" s="129"/>
      <c r="V119" s="68">
        <f t="shared" si="46"/>
        <v>20.56638</v>
      </c>
      <c r="W119" s="91" t="s">
        <v>2498</v>
      </c>
    </row>
    <row r="120" s="4" customFormat="1" ht="26.25" customHeight="1" spans="1:23">
      <c r="A120" s="117" t="s">
        <v>2489</v>
      </c>
      <c r="B120" s="29" t="s">
        <v>2491</v>
      </c>
      <c r="C120" s="118" t="s">
        <v>2492</v>
      </c>
      <c r="D120" s="29" t="s">
        <v>2083</v>
      </c>
      <c r="E120" s="30" t="s">
        <v>2499</v>
      </c>
      <c r="F120" s="32" t="s">
        <v>2500</v>
      </c>
      <c r="G120" s="33">
        <f t="shared" si="43"/>
        <v>200</v>
      </c>
      <c r="H120" s="33">
        <v>200</v>
      </c>
      <c r="I120" s="33"/>
      <c r="J120" s="33"/>
      <c r="K120" s="33"/>
      <c r="L120" s="33"/>
      <c r="M120" s="54">
        <f t="shared" si="44"/>
        <v>0</v>
      </c>
      <c r="N120" s="54"/>
      <c r="O120" s="54"/>
      <c r="P120" s="54"/>
      <c r="Q120" s="68">
        <f t="shared" si="45"/>
        <v>0</v>
      </c>
      <c r="R120" s="68"/>
      <c r="S120" s="68"/>
      <c r="T120" s="68"/>
      <c r="U120" s="129"/>
      <c r="V120" s="33">
        <f t="shared" si="46"/>
        <v>200</v>
      </c>
      <c r="W120" s="130" t="s">
        <v>2283</v>
      </c>
    </row>
    <row r="121" s="4" customFormat="1" ht="26.25" customHeight="1" spans="1:23">
      <c r="A121" s="117" t="s">
        <v>2489</v>
      </c>
      <c r="B121" s="29" t="s">
        <v>2491</v>
      </c>
      <c r="C121" s="118" t="s">
        <v>2492</v>
      </c>
      <c r="D121" s="86" t="s">
        <v>2083</v>
      </c>
      <c r="E121" s="30" t="s">
        <v>2499</v>
      </c>
      <c r="F121" s="86" t="s">
        <v>2500</v>
      </c>
      <c r="G121" s="33">
        <f t="shared" si="43"/>
        <v>0</v>
      </c>
      <c r="H121" s="33"/>
      <c r="I121" s="33"/>
      <c r="J121" s="33"/>
      <c r="K121" s="33"/>
      <c r="L121" s="33"/>
      <c r="M121" s="54">
        <f t="shared" si="44"/>
        <v>0</v>
      </c>
      <c r="N121" s="54"/>
      <c r="O121" s="54"/>
      <c r="P121" s="54"/>
      <c r="Q121" s="68">
        <f t="shared" si="45"/>
        <v>1.6762</v>
      </c>
      <c r="R121" s="68">
        <v>1.6762</v>
      </c>
      <c r="S121" s="68"/>
      <c r="T121" s="68"/>
      <c r="U121" s="129"/>
      <c r="V121" s="68">
        <f t="shared" si="46"/>
        <v>1.6762</v>
      </c>
      <c r="W121" s="91" t="s">
        <v>2498</v>
      </c>
    </row>
    <row r="122" s="4" customFormat="1" ht="26.25" customHeight="1" spans="1:23">
      <c r="A122" s="117" t="s">
        <v>2489</v>
      </c>
      <c r="B122" s="29" t="s">
        <v>2491</v>
      </c>
      <c r="C122" s="118" t="s">
        <v>2492</v>
      </c>
      <c r="D122" s="119" t="s">
        <v>2083</v>
      </c>
      <c r="E122" s="121" t="s">
        <v>2501</v>
      </c>
      <c r="F122" s="35" t="s">
        <v>2317</v>
      </c>
      <c r="G122" s="33">
        <f t="shared" si="43"/>
        <v>0</v>
      </c>
      <c r="H122" s="33"/>
      <c r="I122" s="33"/>
      <c r="J122" s="33"/>
      <c r="K122" s="55">
        <v>1.34</v>
      </c>
      <c r="L122" s="33"/>
      <c r="M122" s="54">
        <f t="shared" si="44"/>
        <v>0</v>
      </c>
      <c r="N122" s="54"/>
      <c r="O122" s="54"/>
      <c r="P122" s="54"/>
      <c r="Q122" s="68">
        <f t="shared" si="45"/>
        <v>0</v>
      </c>
      <c r="R122" s="68"/>
      <c r="S122" s="68"/>
      <c r="T122" s="68"/>
      <c r="U122" s="129"/>
      <c r="V122" s="33">
        <f t="shared" si="46"/>
        <v>1.34</v>
      </c>
      <c r="W122" s="130" t="s">
        <v>2283</v>
      </c>
    </row>
    <row r="123" s="4" customFormat="1" ht="26.25" customHeight="1" spans="1:23">
      <c r="A123" s="117" t="s">
        <v>2489</v>
      </c>
      <c r="B123" s="29" t="s">
        <v>2491</v>
      </c>
      <c r="C123" s="35" t="s">
        <v>2502</v>
      </c>
      <c r="D123" s="76" t="s">
        <v>2503</v>
      </c>
      <c r="E123" s="121" t="s">
        <v>2497</v>
      </c>
      <c r="F123" s="35" t="s">
        <v>941</v>
      </c>
      <c r="G123" s="33">
        <f t="shared" si="43"/>
        <v>0</v>
      </c>
      <c r="H123" s="33"/>
      <c r="I123" s="33"/>
      <c r="J123" s="33"/>
      <c r="K123" s="33"/>
      <c r="L123" s="33"/>
      <c r="M123" s="54">
        <f t="shared" si="44"/>
        <v>30</v>
      </c>
      <c r="N123" s="54"/>
      <c r="O123" s="54">
        <v>30</v>
      </c>
      <c r="P123" s="54"/>
      <c r="Q123" s="68">
        <f t="shared" si="45"/>
        <v>0</v>
      </c>
      <c r="R123" s="68"/>
      <c r="S123" s="68"/>
      <c r="T123" s="68"/>
      <c r="U123" s="129"/>
      <c r="V123" s="54">
        <f t="shared" si="46"/>
        <v>30</v>
      </c>
      <c r="W123" s="92" t="s">
        <v>591</v>
      </c>
    </row>
    <row r="124" s="4" customFormat="1" ht="26.25" customHeight="1" spans="1:23">
      <c r="A124" s="115" t="s">
        <v>2504</v>
      </c>
      <c r="B124" s="23" t="s">
        <v>2505</v>
      </c>
      <c r="C124" s="116"/>
      <c r="D124" s="116"/>
      <c r="E124" s="84"/>
      <c r="F124" s="26"/>
      <c r="G124" s="27">
        <f t="shared" ref="G124:V124" si="47">SUM(G125:G132)</f>
        <v>84</v>
      </c>
      <c r="H124" s="27">
        <f t="shared" si="47"/>
        <v>84</v>
      </c>
      <c r="I124" s="27">
        <f t="shared" si="47"/>
        <v>0</v>
      </c>
      <c r="J124" s="27">
        <f t="shared" si="47"/>
        <v>0</v>
      </c>
      <c r="K124" s="27">
        <f t="shared" si="47"/>
        <v>1.12</v>
      </c>
      <c r="L124" s="27">
        <f t="shared" si="47"/>
        <v>0</v>
      </c>
      <c r="M124" s="27">
        <f t="shared" si="47"/>
        <v>506</v>
      </c>
      <c r="N124" s="27">
        <f t="shared" si="47"/>
        <v>0</v>
      </c>
      <c r="O124" s="27">
        <f t="shared" si="47"/>
        <v>506</v>
      </c>
      <c r="P124" s="27">
        <f t="shared" si="47"/>
        <v>0</v>
      </c>
      <c r="Q124" s="27">
        <f t="shared" si="47"/>
        <v>2.481776</v>
      </c>
      <c r="R124" s="27">
        <f t="shared" si="47"/>
        <v>0</v>
      </c>
      <c r="S124" s="27">
        <f t="shared" si="47"/>
        <v>2.481776</v>
      </c>
      <c r="T124" s="27">
        <f t="shared" si="47"/>
        <v>0</v>
      </c>
      <c r="U124" s="27">
        <f t="shared" si="47"/>
        <v>8</v>
      </c>
      <c r="V124" s="27">
        <f t="shared" si="47"/>
        <v>585.601776</v>
      </c>
      <c r="W124" s="67"/>
    </row>
    <row r="125" s="4" customFormat="1" ht="26.25" customHeight="1" spans="1:23">
      <c r="A125" s="117" t="s">
        <v>2504</v>
      </c>
      <c r="B125" s="29" t="s">
        <v>2506</v>
      </c>
      <c r="C125" s="35" t="s">
        <v>2507</v>
      </c>
      <c r="D125" s="76" t="s">
        <v>2508</v>
      </c>
      <c r="E125" s="121" t="s">
        <v>2509</v>
      </c>
      <c r="F125" s="35" t="s">
        <v>2510</v>
      </c>
      <c r="G125" s="33">
        <f t="shared" ref="G125:G132" si="48">SUM(H125:J125)</f>
        <v>0</v>
      </c>
      <c r="H125" s="33"/>
      <c r="I125" s="33"/>
      <c r="J125" s="33"/>
      <c r="K125" s="33"/>
      <c r="L125" s="33"/>
      <c r="M125" s="54">
        <f t="shared" ref="M125:M132" si="49">N125+O125-P125</f>
        <v>470</v>
      </c>
      <c r="N125" s="54"/>
      <c r="O125" s="54">
        <v>470</v>
      </c>
      <c r="P125" s="54"/>
      <c r="Q125" s="68">
        <f t="shared" ref="Q125:Q132" si="50">R125+S125-T125</f>
        <v>0</v>
      </c>
      <c r="R125" s="68"/>
      <c r="S125" s="68"/>
      <c r="T125" s="68"/>
      <c r="U125" s="129"/>
      <c r="V125" s="54">
        <f t="shared" ref="V125:V132" si="51">G125+K125+L125+M125+Q125-U125</f>
        <v>470</v>
      </c>
      <c r="W125" s="92" t="s">
        <v>584</v>
      </c>
    </row>
    <row r="126" s="4" customFormat="1" ht="26.25" customHeight="1" spans="1:23">
      <c r="A126" s="117" t="s">
        <v>2504</v>
      </c>
      <c r="B126" s="29" t="s">
        <v>2506</v>
      </c>
      <c r="C126" s="35" t="s">
        <v>2507</v>
      </c>
      <c r="D126" s="76" t="s">
        <v>2508</v>
      </c>
      <c r="E126" s="121" t="s">
        <v>2511</v>
      </c>
      <c r="F126" s="35" t="s">
        <v>2512</v>
      </c>
      <c r="G126" s="33">
        <f t="shared" si="48"/>
        <v>0</v>
      </c>
      <c r="H126" s="33"/>
      <c r="I126" s="33"/>
      <c r="J126" s="33"/>
      <c r="K126" s="33"/>
      <c r="L126" s="33"/>
      <c r="M126" s="54">
        <f t="shared" si="49"/>
        <v>36</v>
      </c>
      <c r="N126" s="54"/>
      <c r="O126" s="54">
        <v>36</v>
      </c>
      <c r="P126" s="54"/>
      <c r="Q126" s="68">
        <f t="shared" si="50"/>
        <v>0</v>
      </c>
      <c r="R126" s="68"/>
      <c r="S126" s="68"/>
      <c r="T126" s="68"/>
      <c r="U126" s="129"/>
      <c r="V126" s="54">
        <f t="shared" si="51"/>
        <v>36</v>
      </c>
      <c r="W126" s="92" t="s">
        <v>584</v>
      </c>
    </row>
    <row r="127" s="4" customFormat="1" ht="26.25" customHeight="1" spans="1:23">
      <c r="A127" s="117" t="s">
        <v>2504</v>
      </c>
      <c r="B127" s="29" t="s">
        <v>2506</v>
      </c>
      <c r="C127" s="118" t="s">
        <v>2513</v>
      </c>
      <c r="D127" s="119" t="s">
        <v>2083</v>
      </c>
      <c r="E127" s="30" t="s">
        <v>2514</v>
      </c>
      <c r="F127" s="32" t="s">
        <v>2515</v>
      </c>
      <c r="G127" s="33">
        <f t="shared" si="48"/>
        <v>20</v>
      </c>
      <c r="H127" s="33">
        <v>20</v>
      </c>
      <c r="I127" s="33"/>
      <c r="J127" s="33"/>
      <c r="K127" s="33"/>
      <c r="L127" s="33"/>
      <c r="M127" s="54">
        <f t="shared" si="49"/>
        <v>0</v>
      </c>
      <c r="N127" s="54"/>
      <c r="O127" s="54"/>
      <c r="P127" s="54"/>
      <c r="Q127" s="68">
        <f t="shared" si="50"/>
        <v>0</v>
      </c>
      <c r="R127" s="68"/>
      <c r="S127" s="68"/>
      <c r="T127" s="68"/>
      <c r="U127" s="129"/>
      <c r="V127" s="33">
        <f t="shared" si="51"/>
        <v>20</v>
      </c>
      <c r="W127" s="130" t="s">
        <v>2283</v>
      </c>
    </row>
    <row r="128" s="4" customFormat="1" ht="26.25" customHeight="1" spans="1:23">
      <c r="A128" s="117" t="s">
        <v>2504</v>
      </c>
      <c r="B128" s="29" t="s">
        <v>2506</v>
      </c>
      <c r="C128" s="118" t="s">
        <v>2513</v>
      </c>
      <c r="D128" s="119" t="s">
        <v>2083</v>
      </c>
      <c r="E128" s="30" t="s">
        <v>2516</v>
      </c>
      <c r="F128" s="32" t="s">
        <v>944</v>
      </c>
      <c r="G128" s="33">
        <f t="shared" si="48"/>
        <v>20</v>
      </c>
      <c r="H128" s="33">
        <v>20</v>
      </c>
      <c r="I128" s="33"/>
      <c r="J128" s="33"/>
      <c r="K128" s="33"/>
      <c r="L128" s="33"/>
      <c r="M128" s="54">
        <f t="shared" si="49"/>
        <v>0</v>
      </c>
      <c r="N128" s="54"/>
      <c r="O128" s="54"/>
      <c r="P128" s="54"/>
      <c r="Q128" s="68">
        <f t="shared" si="50"/>
        <v>0</v>
      </c>
      <c r="R128" s="68"/>
      <c r="S128" s="68"/>
      <c r="T128" s="68"/>
      <c r="U128" s="129">
        <v>8</v>
      </c>
      <c r="V128" s="33">
        <f t="shared" si="51"/>
        <v>12</v>
      </c>
      <c r="W128" s="130" t="s">
        <v>2283</v>
      </c>
    </row>
    <row r="129" s="4" customFormat="1" ht="26.25" customHeight="1" spans="1:23">
      <c r="A129" s="117" t="s">
        <v>2504</v>
      </c>
      <c r="B129" s="29" t="s">
        <v>2506</v>
      </c>
      <c r="C129" s="118" t="s">
        <v>2513</v>
      </c>
      <c r="D129" s="119" t="s">
        <v>2083</v>
      </c>
      <c r="E129" s="121" t="s">
        <v>2517</v>
      </c>
      <c r="F129" s="35" t="s">
        <v>2317</v>
      </c>
      <c r="G129" s="33">
        <f t="shared" si="48"/>
        <v>0</v>
      </c>
      <c r="H129" s="33"/>
      <c r="I129" s="33"/>
      <c r="J129" s="33"/>
      <c r="K129" s="55">
        <v>1.12</v>
      </c>
      <c r="L129" s="33"/>
      <c r="M129" s="54">
        <f t="shared" si="49"/>
        <v>0</v>
      </c>
      <c r="N129" s="54"/>
      <c r="O129" s="54"/>
      <c r="P129" s="54"/>
      <c r="Q129" s="68">
        <f t="shared" si="50"/>
        <v>0</v>
      </c>
      <c r="R129" s="68"/>
      <c r="S129" s="68"/>
      <c r="T129" s="68"/>
      <c r="U129" s="129"/>
      <c r="V129" s="33">
        <f t="shared" si="51"/>
        <v>1.12</v>
      </c>
      <c r="W129" s="130" t="s">
        <v>2283</v>
      </c>
    </row>
    <row r="130" s="4" customFormat="1" ht="26.25" customHeight="1" spans="1:23">
      <c r="A130" s="117" t="s">
        <v>2504</v>
      </c>
      <c r="B130" s="29" t="s">
        <v>2506</v>
      </c>
      <c r="C130" s="118" t="s">
        <v>2518</v>
      </c>
      <c r="D130" s="119" t="s">
        <v>2519</v>
      </c>
      <c r="E130" s="30" t="s">
        <v>2520</v>
      </c>
      <c r="F130" s="32" t="s">
        <v>2521</v>
      </c>
      <c r="G130" s="33">
        <f t="shared" si="48"/>
        <v>24</v>
      </c>
      <c r="H130" s="33">
        <v>24</v>
      </c>
      <c r="I130" s="33"/>
      <c r="J130" s="33"/>
      <c r="K130" s="33"/>
      <c r="L130" s="33"/>
      <c r="M130" s="54">
        <f t="shared" si="49"/>
        <v>0</v>
      </c>
      <c r="N130" s="54"/>
      <c r="O130" s="54"/>
      <c r="P130" s="54"/>
      <c r="Q130" s="68">
        <f t="shared" si="50"/>
        <v>0</v>
      </c>
      <c r="R130" s="68"/>
      <c r="S130" s="68"/>
      <c r="T130" s="68"/>
      <c r="U130" s="129"/>
      <c r="V130" s="33">
        <f t="shared" si="51"/>
        <v>24</v>
      </c>
      <c r="W130" s="130" t="s">
        <v>2283</v>
      </c>
    </row>
    <row r="131" s="4" customFormat="1" ht="26.25" customHeight="1" spans="1:23">
      <c r="A131" s="117" t="s">
        <v>2504</v>
      </c>
      <c r="B131" s="29" t="s">
        <v>2506</v>
      </c>
      <c r="C131" s="118" t="s">
        <v>2522</v>
      </c>
      <c r="D131" s="119" t="s">
        <v>2523</v>
      </c>
      <c r="E131" s="30" t="s">
        <v>2524</v>
      </c>
      <c r="F131" s="32" t="s">
        <v>2525</v>
      </c>
      <c r="G131" s="33">
        <f t="shared" si="48"/>
        <v>20</v>
      </c>
      <c r="H131" s="33">
        <v>20</v>
      </c>
      <c r="I131" s="33"/>
      <c r="J131" s="33"/>
      <c r="K131" s="33"/>
      <c r="L131" s="33"/>
      <c r="M131" s="54">
        <f t="shared" si="49"/>
        <v>0</v>
      </c>
      <c r="N131" s="54"/>
      <c r="O131" s="54"/>
      <c r="P131" s="54"/>
      <c r="Q131" s="68">
        <f t="shared" si="50"/>
        <v>0</v>
      </c>
      <c r="R131" s="68"/>
      <c r="S131" s="68"/>
      <c r="T131" s="68"/>
      <c r="U131" s="129"/>
      <c r="V131" s="33">
        <f t="shared" si="51"/>
        <v>20</v>
      </c>
      <c r="W131" s="130" t="s">
        <v>2283</v>
      </c>
    </row>
    <row r="132" s="4" customFormat="1" ht="26.25" customHeight="1" spans="1:23">
      <c r="A132" s="117" t="s">
        <v>2504</v>
      </c>
      <c r="B132" s="29" t="s">
        <v>2506</v>
      </c>
      <c r="C132" s="118" t="s">
        <v>2522</v>
      </c>
      <c r="D132" s="86" t="s">
        <v>2523</v>
      </c>
      <c r="E132" s="121" t="s">
        <v>2520</v>
      </c>
      <c r="F132" s="38" t="s">
        <v>2526</v>
      </c>
      <c r="G132" s="33">
        <f t="shared" si="48"/>
        <v>0</v>
      </c>
      <c r="H132" s="33"/>
      <c r="I132" s="33"/>
      <c r="J132" s="33"/>
      <c r="K132" s="33"/>
      <c r="L132" s="33"/>
      <c r="M132" s="54">
        <f t="shared" si="49"/>
        <v>0</v>
      </c>
      <c r="N132" s="54"/>
      <c r="O132" s="54"/>
      <c r="P132" s="54"/>
      <c r="Q132" s="68">
        <f t="shared" si="50"/>
        <v>2.481776</v>
      </c>
      <c r="R132" s="68"/>
      <c r="S132" s="68">
        <v>2.481776</v>
      </c>
      <c r="T132" s="68"/>
      <c r="U132" s="129"/>
      <c r="V132" s="68">
        <f t="shared" si="51"/>
        <v>2.481776</v>
      </c>
      <c r="W132" s="91" t="s">
        <v>2527</v>
      </c>
    </row>
    <row r="133" s="4" customFormat="1" ht="26.25" customHeight="1" spans="1:23">
      <c r="A133" s="115" t="s">
        <v>2528</v>
      </c>
      <c r="B133" s="23" t="s">
        <v>2529</v>
      </c>
      <c r="C133" s="116"/>
      <c r="D133" s="116"/>
      <c r="E133" s="84"/>
      <c r="F133" s="26"/>
      <c r="G133" s="27">
        <f t="shared" ref="G133:V133" si="52">SUM(G134:G138)</f>
        <v>441.8</v>
      </c>
      <c r="H133" s="27">
        <f t="shared" si="52"/>
        <v>441.8</v>
      </c>
      <c r="I133" s="27">
        <f t="shared" si="52"/>
        <v>0</v>
      </c>
      <c r="J133" s="27">
        <f t="shared" si="52"/>
        <v>0</v>
      </c>
      <c r="K133" s="27">
        <f t="shared" si="52"/>
        <v>1.22</v>
      </c>
      <c r="L133" s="27">
        <f t="shared" si="52"/>
        <v>0</v>
      </c>
      <c r="M133" s="27">
        <f t="shared" si="52"/>
        <v>0</v>
      </c>
      <c r="N133" s="27">
        <f t="shared" si="52"/>
        <v>0</v>
      </c>
      <c r="O133" s="27">
        <f t="shared" si="52"/>
        <v>0</v>
      </c>
      <c r="P133" s="27">
        <f t="shared" si="52"/>
        <v>0</v>
      </c>
      <c r="Q133" s="27">
        <f t="shared" si="52"/>
        <v>0</v>
      </c>
      <c r="R133" s="27">
        <f t="shared" si="52"/>
        <v>0</v>
      </c>
      <c r="S133" s="134">
        <f t="shared" si="52"/>
        <v>0</v>
      </c>
      <c r="T133" s="134">
        <f t="shared" si="52"/>
        <v>0</v>
      </c>
      <c r="U133" s="27">
        <f t="shared" si="52"/>
        <v>0.54</v>
      </c>
      <c r="V133" s="27">
        <f t="shared" si="52"/>
        <v>442.48</v>
      </c>
      <c r="W133" s="67"/>
    </row>
    <row r="134" s="4" customFormat="1" ht="26.25" customHeight="1" spans="1:23">
      <c r="A134" s="117" t="s">
        <v>2528</v>
      </c>
      <c r="B134" s="29" t="s">
        <v>2530</v>
      </c>
      <c r="C134" s="118" t="s">
        <v>2531</v>
      </c>
      <c r="D134" s="119" t="s">
        <v>2083</v>
      </c>
      <c r="E134" s="30" t="s">
        <v>2532</v>
      </c>
      <c r="F134" s="32" t="s">
        <v>2533</v>
      </c>
      <c r="G134" s="33">
        <f t="shared" ref="G134:G138" si="53">SUM(H134:J134)</f>
        <v>120</v>
      </c>
      <c r="H134" s="33">
        <v>120</v>
      </c>
      <c r="I134" s="33"/>
      <c r="J134" s="33"/>
      <c r="K134" s="33">
        <v>-3</v>
      </c>
      <c r="L134" s="33"/>
      <c r="M134" s="54">
        <f t="shared" ref="M134:M138" si="54">N134+O134-P134</f>
        <v>0</v>
      </c>
      <c r="N134" s="54"/>
      <c r="O134" s="54"/>
      <c r="P134" s="54"/>
      <c r="Q134" s="68">
        <f t="shared" ref="Q134:Q138" si="55">R134+S134-T134</f>
        <v>0</v>
      </c>
      <c r="R134" s="68"/>
      <c r="S134" s="68"/>
      <c r="T134" s="68"/>
      <c r="U134" s="129"/>
      <c r="V134" s="33">
        <f t="shared" ref="V134:V138" si="56">G134+K134+L134+M134+Q134-U134</f>
        <v>117</v>
      </c>
      <c r="W134" s="130" t="s">
        <v>2283</v>
      </c>
    </row>
    <row r="135" s="4" customFormat="1" ht="26.25" customHeight="1" spans="1:23">
      <c r="A135" s="117" t="s">
        <v>2528</v>
      </c>
      <c r="B135" s="29" t="s">
        <v>2530</v>
      </c>
      <c r="C135" s="118" t="s">
        <v>2531</v>
      </c>
      <c r="D135" s="119" t="s">
        <v>2083</v>
      </c>
      <c r="E135" s="30" t="s">
        <v>2534</v>
      </c>
      <c r="F135" s="32" t="s">
        <v>946</v>
      </c>
      <c r="G135" s="33">
        <f t="shared" si="53"/>
        <v>1.8</v>
      </c>
      <c r="H135" s="33">
        <v>1.8</v>
      </c>
      <c r="I135" s="33"/>
      <c r="J135" s="33"/>
      <c r="K135" s="33"/>
      <c r="L135" s="33"/>
      <c r="M135" s="54">
        <f t="shared" si="54"/>
        <v>0</v>
      </c>
      <c r="N135" s="54"/>
      <c r="O135" s="54"/>
      <c r="P135" s="54"/>
      <c r="Q135" s="68">
        <f t="shared" si="55"/>
        <v>0</v>
      </c>
      <c r="R135" s="68"/>
      <c r="S135" s="68"/>
      <c r="T135" s="68"/>
      <c r="U135" s="129">
        <v>0.54</v>
      </c>
      <c r="V135" s="33">
        <f t="shared" si="56"/>
        <v>1.26</v>
      </c>
      <c r="W135" s="130" t="s">
        <v>2283</v>
      </c>
    </row>
    <row r="136" s="4" customFormat="1" ht="26.25" customHeight="1" spans="1:23">
      <c r="A136" s="117" t="s">
        <v>2528</v>
      </c>
      <c r="B136" s="29" t="s">
        <v>2530</v>
      </c>
      <c r="C136" s="118" t="s">
        <v>2531</v>
      </c>
      <c r="D136" s="29" t="s">
        <v>2083</v>
      </c>
      <c r="E136" s="30" t="s">
        <v>2535</v>
      </c>
      <c r="F136" s="32" t="s">
        <v>2536</v>
      </c>
      <c r="G136" s="33">
        <f t="shared" si="53"/>
        <v>120</v>
      </c>
      <c r="H136" s="33">
        <v>120</v>
      </c>
      <c r="I136" s="33"/>
      <c r="J136" s="33"/>
      <c r="K136" s="33"/>
      <c r="L136" s="33"/>
      <c r="M136" s="54">
        <f t="shared" si="54"/>
        <v>0</v>
      </c>
      <c r="N136" s="54"/>
      <c r="O136" s="54"/>
      <c r="P136" s="54"/>
      <c r="Q136" s="68">
        <f t="shared" si="55"/>
        <v>0</v>
      </c>
      <c r="R136" s="68"/>
      <c r="S136" s="68"/>
      <c r="T136" s="68"/>
      <c r="U136" s="129"/>
      <c r="V136" s="33">
        <f t="shared" si="56"/>
        <v>120</v>
      </c>
      <c r="W136" s="130" t="s">
        <v>2283</v>
      </c>
    </row>
    <row r="137" s="4" customFormat="1" ht="26.25" customHeight="1" spans="1:23">
      <c r="A137" s="117" t="s">
        <v>2528</v>
      </c>
      <c r="B137" s="29" t="s">
        <v>2530</v>
      </c>
      <c r="C137" s="118" t="s">
        <v>2531</v>
      </c>
      <c r="D137" s="119" t="s">
        <v>2083</v>
      </c>
      <c r="E137" s="121" t="s">
        <v>2537</v>
      </c>
      <c r="F137" s="35" t="s">
        <v>2317</v>
      </c>
      <c r="G137" s="33">
        <f t="shared" si="53"/>
        <v>0</v>
      </c>
      <c r="H137" s="33"/>
      <c r="I137" s="33"/>
      <c r="J137" s="33"/>
      <c r="K137" s="55">
        <v>1.22</v>
      </c>
      <c r="L137" s="33"/>
      <c r="M137" s="54">
        <f t="shared" si="54"/>
        <v>0</v>
      </c>
      <c r="N137" s="54"/>
      <c r="O137" s="54"/>
      <c r="P137" s="54"/>
      <c r="Q137" s="68">
        <f t="shared" si="55"/>
        <v>0</v>
      </c>
      <c r="R137" s="68"/>
      <c r="S137" s="68"/>
      <c r="T137" s="68"/>
      <c r="U137" s="129"/>
      <c r="V137" s="33">
        <f t="shared" si="56"/>
        <v>1.22</v>
      </c>
      <c r="W137" s="130" t="s">
        <v>2283</v>
      </c>
    </row>
    <row r="138" s="4" customFormat="1" ht="26.25" customHeight="1" spans="1:23">
      <c r="A138" s="117" t="s">
        <v>2528</v>
      </c>
      <c r="B138" s="29" t="s">
        <v>2530</v>
      </c>
      <c r="C138" s="118" t="s">
        <v>2538</v>
      </c>
      <c r="D138" s="29" t="s">
        <v>2539</v>
      </c>
      <c r="E138" s="30" t="s">
        <v>2540</v>
      </c>
      <c r="F138" s="32" t="s">
        <v>2541</v>
      </c>
      <c r="G138" s="33">
        <f t="shared" si="53"/>
        <v>200</v>
      </c>
      <c r="H138" s="33">
        <v>200</v>
      </c>
      <c r="I138" s="33"/>
      <c r="J138" s="33"/>
      <c r="K138" s="33">
        <v>3</v>
      </c>
      <c r="L138" s="33"/>
      <c r="M138" s="54">
        <f t="shared" si="54"/>
        <v>0</v>
      </c>
      <c r="N138" s="54"/>
      <c r="O138" s="54"/>
      <c r="P138" s="54"/>
      <c r="Q138" s="68">
        <f t="shared" si="55"/>
        <v>0</v>
      </c>
      <c r="R138" s="68"/>
      <c r="S138" s="68"/>
      <c r="T138" s="68"/>
      <c r="U138" s="129"/>
      <c r="V138" s="33">
        <f t="shared" si="56"/>
        <v>203</v>
      </c>
      <c r="W138" s="130" t="s">
        <v>2283</v>
      </c>
    </row>
    <row r="139" s="4" customFormat="1" ht="26.25" customHeight="1" spans="1:23">
      <c r="A139" s="115" t="s">
        <v>2542</v>
      </c>
      <c r="B139" s="23" t="s">
        <v>2543</v>
      </c>
      <c r="C139" s="116"/>
      <c r="D139" s="116"/>
      <c r="E139" s="84"/>
      <c r="F139" s="26"/>
      <c r="G139" s="27">
        <f t="shared" ref="G139:V139" si="57">SUM(G140:G150)</f>
        <v>20333.38</v>
      </c>
      <c r="H139" s="27">
        <f t="shared" si="57"/>
        <v>20333.38</v>
      </c>
      <c r="I139" s="27">
        <f t="shared" si="57"/>
        <v>0</v>
      </c>
      <c r="J139" s="27">
        <f t="shared" si="57"/>
        <v>0</v>
      </c>
      <c r="K139" s="27">
        <f t="shared" si="57"/>
        <v>2.02000000000044</v>
      </c>
      <c r="L139" s="27">
        <f t="shared" si="57"/>
        <v>18</v>
      </c>
      <c r="M139" s="27">
        <f t="shared" si="57"/>
        <v>0</v>
      </c>
      <c r="N139" s="27">
        <f t="shared" si="57"/>
        <v>0</v>
      </c>
      <c r="O139" s="27">
        <f t="shared" si="57"/>
        <v>0</v>
      </c>
      <c r="P139" s="27">
        <f t="shared" si="57"/>
        <v>0</v>
      </c>
      <c r="Q139" s="27">
        <f t="shared" si="57"/>
        <v>40</v>
      </c>
      <c r="R139" s="27">
        <f t="shared" si="57"/>
        <v>0</v>
      </c>
      <c r="S139" s="27">
        <f t="shared" si="57"/>
        <v>40</v>
      </c>
      <c r="T139" s="27">
        <f t="shared" si="57"/>
        <v>0</v>
      </c>
      <c r="U139" s="27">
        <f t="shared" si="57"/>
        <v>9720</v>
      </c>
      <c r="V139" s="27">
        <f t="shared" si="57"/>
        <v>10673.4</v>
      </c>
      <c r="W139" s="67"/>
    </row>
    <row r="140" s="4" customFormat="1" ht="26.25" customHeight="1" spans="1:23">
      <c r="A140" s="117" t="s">
        <v>2542</v>
      </c>
      <c r="B140" s="29" t="s">
        <v>2544</v>
      </c>
      <c r="C140" s="35" t="s">
        <v>2280</v>
      </c>
      <c r="D140" s="40" t="s">
        <v>2083</v>
      </c>
      <c r="E140" s="121" t="s">
        <v>2545</v>
      </c>
      <c r="F140" s="35" t="s">
        <v>948</v>
      </c>
      <c r="G140" s="33">
        <f t="shared" ref="G140:G150" si="58">SUM(H140:J140)</f>
        <v>0</v>
      </c>
      <c r="H140" s="33"/>
      <c r="I140" s="33"/>
      <c r="J140" s="33"/>
      <c r="K140" s="33"/>
      <c r="L140" s="128">
        <v>18</v>
      </c>
      <c r="M140" s="54">
        <f t="shared" ref="M140:M150" si="59">N140+O140-P140</f>
        <v>0</v>
      </c>
      <c r="N140" s="54"/>
      <c r="O140" s="54"/>
      <c r="P140" s="54"/>
      <c r="Q140" s="68">
        <f t="shared" ref="Q140:Q150" si="60">R140+S140-T140</f>
        <v>0</v>
      </c>
      <c r="R140" s="68"/>
      <c r="S140" s="68"/>
      <c r="T140" s="68"/>
      <c r="U140" s="129"/>
      <c r="V140" s="33">
        <f t="shared" ref="V140:V150" si="61">G140+K140+L140+M140+Q140-U140</f>
        <v>18</v>
      </c>
      <c r="W140" s="130" t="s">
        <v>2283</v>
      </c>
    </row>
    <row r="141" s="4" customFormat="1" ht="26.25" customHeight="1" spans="1:23">
      <c r="A141" s="117" t="s">
        <v>2542</v>
      </c>
      <c r="B141" s="29" t="s">
        <v>2544</v>
      </c>
      <c r="C141" s="35" t="s">
        <v>2546</v>
      </c>
      <c r="D141" s="38" t="s">
        <v>2547</v>
      </c>
      <c r="E141" s="121" t="s">
        <v>2548</v>
      </c>
      <c r="F141" s="38" t="s">
        <v>2549</v>
      </c>
      <c r="G141" s="33">
        <f t="shared" si="58"/>
        <v>0</v>
      </c>
      <c r="H141" s="33"/>
      <c r="I141" s="33"/>
      <c r="J141" s="33"/>
      <c r="K141" s="33"/>
      <c r="L141" s="33"/>
      <c r="M141" s="54">
        <f t="shared" si="59"/>
        <v>0</v>
      </c>
      <c r="N141" s="54"/>
      <c r="O141" s="54"/>
      <c r="P141" s="54"/>
      <c r="Q141" s="68">
        <f t="shared" si="60"/>
        <v>40</v>
      </c>
      <c r="R141" s="68"/>
      <c r="S141" s="68">
        <v>40</v>
      </c>
      <c r="T141" s="68"/>
      <c r="U141" s="129"/>
      <c r="V141" s="68">
        <f t="shared" si="61"/>
        <v>40</v>
      </c>
      <c r="W141" s="91" t="s">
        <v>2550</v>
      </c>
    </row>
    <row r="142" s="4" customFormat="1" ht="26.25" customHeight="1" spans="1:23">
      <c r="A142" s="117" t="s">
        <v>2542</v>
      </c>
      <c r="B142" s="29" t="s">
        <v>2544</v>
      </c>
      <c r="C142" s="35" t="s">
        <v>2551</v>
      </c>
      <c r="D142" s="40" t="s">
        <v>2552</v>
      </c>
      <c r="E142" s="30" t="s">
        <v>2553</v>
      </c>
      <c r="F142" s="32" t="s">
        <v>950</v>
      </c>
      <c r="G142" s="33">
        <f t="shared" si="58"/>
        <v>0</v>
      </c>
      <c r="H142" s="33"/>
      <c r="I142" s="33"/>
      <c r="J142" s="33"/>
      <c r="K142" s="33">
        <v>4600</v>
      </c>
      <c r="L142" s="33"/>
      <c r="M142" s="54">
        <f t="shared" si="59"/>
        <v>0</v>
      </c>
      <c r="N142" s="54"/>
      <c r="O142" s="54"/>
      <c r="P142" s="54"/>
      <c r="Q142" s="68">
        <f t="shared" si="60"/>
        <v>0</v>
      </c>
      <c r="R142" s="68"/>
      <c r="S142" s="68"/>
      <c r="T142" s="68"/>
      <c r="U142" s="129"/>
      <c r="V142" s="33">
        <f t="shared" si="61"/>
        <v>4600</v>
      </c>
      <c r="W142" s="130" t="s">
        <v>2283</v>
      </c>
    </row>
    <row r="143" s="4" customFormat="1" ht="26.25" customHeight="1" spans="1:23">
      <c r="A143" s="117" t="s">
        <v>2542</v>
      </c>
      <c r="B143" s="29" t="s">
        <v>2544</v>
      </c>
      <c r="C143" s="118" t="s">
        <v>2554</v>
      </c>
      <c r="D143" s="119" t="s">
        <v>2083</v>
      </c>
      <c r="E143" s="30" t="s">
        <v>2555</v>
      </c>
      <c r="F143" s="32" t="s">
        <v>2533</v>
      </c>
      <c r="G143" s="33">
        <f t="shared" si="58"/>
        <v>57.6</v>
      </c>
      <c r="H143" s="33">
        <v>57.6</v>
      </c>
      <c r="I143" s="33"/>
      <c r="J143" s="33"/>
      <c r="K143" s="33"/>
      <c r="L143" s="33"/>
      <c r="M143" s="54">
        <f t="shared" si="59"/>
        <v>0</v>
      </c>
      <c r="N143" s="54"/>
      <c r="O143" s="54"/>
      <c r="P143" s="54"/>
      <c r="Q143" s="68">
        <f t="shared" si="60"/>
        <v>0</v>
      </c>
      <c r="R143" s="68"/>
      <c r="S143" s="68"/>
      <c r="T143" s="68"/>
      <c r="U143" s="129"/>
      <c r="V143" s="33">
        <f t="shared" si="61"/>
        <v>57.6</v>
      </c>
      <c r="W143" s="130" t="s">
        <v>2283</v>
      </c>
    </row>
    <row r="144" s="4" customFormat="1" ht="26.25" customHeight="1" spans="1:23">
      <c r="A144" s="117" t="s">
        <v>2542</v>
      </c>
      <c r="B144" s="29" t="s">
        <v>2544</v>
      </c>
      <c r="C144" s="118" t="s">
        <v>2554</v>
      </c>
      <c r="D144" s="119" t="s">
        <v>2083</v>
      </c>
      <c r="E144" s="30" t="s">
        <v>2556</v>
      </c>
      <c r="F144" s="32" t="s">
        <v>946</v>
      </c>
      <c r="G144" s="33">
        <f t="shared" si="58"/>
        <v>2</v>
      </c>
      <c r="H144" s="33">
        <v>2</v>
      </c>
      <c r="I144" s="33"/>
      <c r="J144" s="33"/>
      <c r="K144" s="33"/>
      <c r="L144" s="33"/>
      <c r="M144" s="54">
        <f t="shared" si="59"/>
        <v>0</v>
      </c>
      <c r="N144" s="54"/>
      <c r="O144" s="54"/>
      <c r="P144" s="54"/>
      <c r="Q144" s="68">
        <f t="shared" si="60"/>
        <v>0</v>
      </c>
      <c r="R144" s="68"/>
      <c r="S144" s="68"/>
      <c r="T144" s="68"/>
      <c r="U144" s="129"/>
      <c r="V144" s="33">
        <f t="shared" si="61"/>
        <v>2</v>
      </c>
      <c r="W144" s="130" t="s">
        <v>2283</v>
      </c>
    </row>
    <row r="145" s="4" customFormat="1" ht="26.25" customHeight="1" spans="1:23">
      <c r="A145" s="117" t="s">
        <v>2542</v>
      </c>
      <c r="B145" s="29" t="s">
        <v>2544</v>
      </c>
      <c r="C145" s="118" t="s">
        <v>2554</v>
      </c>
      <c r="D145" s="120" t="s">
        <v>2083</v>
      </c>
      <c r="E145" s="37" t="s">
        <v>2557</v>
      </c>
      <c r="F145" s="32" t="s">
        <v>956</v>
      </c>
      <c r="G145" s="33">
        <f t="shared" si="58"/>
        <v>8.78</v>
      </c>
      <c r="H145" s="33">
        <v>8.78</v>
      </c>
      <c r="I145" s="33"/>
      <c r="J145" s="33"/>
      <c r="K145" s="33"/>
      <c r="L145" s="33"/>
      <c r="M145" s="54">
        <f t="shared" si="59"/>
        <v>0</v>
      </c>
      <c r="N145" s="54"/>
      <c r="O145" s="54"/>
      <c r="P145" s="54"/>
      <c r="Q145" s="68">
        <f t="shared" si="60"/>
        <v>0</v>
      </c>
      <c r="R145" s="68"/>
      <c r="S145" s="68"/>
      <c r="T145" s="68"/>
      <c r="U145" s="129"/>
      <c r="V145" s="70">
        <f t="shared" si="61"/>
        <v>8.78</v>
      </c>
      <c r="W145" s="130" t="s">
        <v>2283</v>
      </c>
    </row>
    <row r="146" s="4" customFormat="1" ht="26.25" customHeight="1" spans="1:23">
      <c r="A146" s="117" t="s">
        <v>2542</v>
      </c>
      <c r="B146" s="29" t="s">
        <v>2544</v>
      </c>
      <c r="C146" s="118" t="s">
        <v>2554</v>
      </c>
      <c r="D146" s="119" t="s">
        <v>2083</v>
      </c>
      <c r="E146" s="30" t="s">
        <v>2558</v>
      </c>
      <c r="F146" s="32" t="s">
        <v>949</v>
      </c>
      <c r="G146" s="33">
        <f t="shared" si="58"/>
        <v>157</v>
      </c>
      <c r="H146" s="33">
        <v>157</v>
      </c>
      <c r="I146" s="33"/>
      <c r="J146" s="33"/>
      <c r="K146" s="33"/>
      <c r="L146" s="33"/>
      <c r="M146" s="54">
        <f t="shared" si="59"/>
        <v>0</v>
      </c>
      <c r="N146" s="54"/>
      <c r="O146" s="54"/>
      <c r="P146" s="54"/>
      <c r="Q146" s="68">
        <f t="shared" si="60"/>
        <v>0</v>
      </c>
      <c r="R146" s="68"/>
      <c r="S146" s="68"/>
      <c r="T146" s="68"/>
      <c r="U146" s="129">
        <f>90+30</f>
        <v>120</v>
      </c>
      <c r="V146" s="33">
        <f t="shared" si="61"/>
        <v>37</v>
      </c>
      <c r="W146" s="130" t="s">
        <v>2283</v>
      </c>
    </row>
    <row r="147" s="4" customFormat="1" ht="26.25" customHeight="1" spans="1:23">
      <c r="A147" s="117" t="s">
        <v>2542</v>
      </c>
      <c r="B147" s="29" t="s">
        <v>2544</v>
      </c>
      <c r="C147" s="118" t="s">
        <v>2554</v>
      </c>
      <c r="D147" s="119" t="s">
        <v>2083</v>
      </c>
      <c r="E147" s="121" t="s">
        <v>2559</v>
      </c>
      <c r="F147" s="35" t="s">
        <v>2317</v>
      </c>
      <c r="G147" s="33">
        <f t="shared" si="58"/>
        <v>0</v>
      </c>
      <c r="H147" s="33"/>
      <c r="I147" s="33"/>
      <c r="J147" s="33"/>
      <c r="K147" s="55">
        <v>2.02</v>
      </c>
      <c r="L147" s="33"/>
      <c r="M147" s="54">
        <f t="shared" si="59"/>
        <v>0</v>
      </c>
      <c r="N147" s="54"/>
      <c r="O147" s="54"/>
      <c r="P147" s="54"/>
      <c r="Q147" s="68">
        <f t="shared" si="60"/>
        <v>0</v>
      </c>
      <c r="R147" s="68"/>
      <c r="S147" s="68"/>
      <c r="T147" s="68"/>
      <c r="U147" s="129"/>
      <c r="V147" s="33">
        <f t="shared" si="61"/>
        <v>2.02</v>
      </c>
      <c r="W147" s="130" t="s">
        <v>2283</v>
      </c>
    </row>
    <row r="148" s="4" customFormat="1" ht="26.25" customHeight="1" spans="1:23">
      <c r="A148" s="117" t="s">
        <v>2542</v>
      </c>
      <c r="B148" s="29" t="s">
        <v>2544</v>
      </c>
      <c r="C148" s="118" t="s">
        <v>2538</v>
      </c>
      <c r="D148" s="29" t="s">
        <v>2539</v>
      </c>
      <c r="E148" s="30" t="s">
        <v>2560</v>
      </c>
      <c r="F148" s="32" t="s">
        <v>2549</v>
      </c>
      <c r="G148" s="33">
        <f t="shared" si="58"/>
        <v>80</v>
      </c>
      <c r="H148" s="33">
        <v>80</v>
      </c>
      <c r="I148" s="33"/>
      <c r="J148" s="33"/>
      <c r="K148" s="33"/>
      <c r="L148" s="33"/>
      <c r="M148" s="54">
        <f t="shared" si="59"/>
        <v>0</v>
      </c>
      <c r="N148" s="54"/>
      <c r="O148" s="54"/>
      <c r="P148" s="54"/>
      <c r="Q148" s="68">
        <f t="shared" si="60"/>
        <v>0</v>
      </c>
      <c r="R148" s="68"/>
      <c r="S148" s="68"/>
      <c r="T148" s="68"/>
      <c r="U148" s="129"/>
      <c r="V148" s="33">
        <f t="shared" si="61"/>
        <v>80</v>
      </c>
      <c r="W148" s="130" t="s">
        <v>2283</v>
      </c>
    </row>
    <row r="149" s="4" customFormat="1" ht="26.25" customHeight="1" spans="1:23">
      <c r="A149" s="117" t="s">
        <v>2542</v>
      </c>
      <c r="B149" s="29" t="s">
        <v>2544</v>
      </c>
      <c r="C149" s="118" t="s">
        <v>2538</v>
      </c>
      <c r="D149" s="29" t="s">
        <v>2539</v>
      </c>
      <c r="E149" s="30" t="s">
        <v>2553</v>
      </c>
      <c r="F149" s="32" t="s">
        <v>950</v>
      </c>
      <c r="G149" s="33">
        <f t="shared" si="58"/>
        <v>20000</v>
      </c>
      <c r="H149" s="33">
        <v>20000</v>
      </c>
      <c r="I149" s="33"/>
      <c r="J149" s="33"/>
      <c r="K149" s="33">
        <v>-4600</v>
      </c>
      <c r="L149" s="33"/>
      <c r="M149" s="54">
        <f t="shared" si="59"/>
        <v>0</v>
      </c>
      <c r="N149" s="54"/>
      <c r="O149" s="54"/>
      <c r="P149" s="54"/>
      <c r="Q149" s="68">
        <f t="shared" si="60"/>
        <v>0</v>
      </c>
      <c r="R149" s="68"/>
      <c r="S149" s="68"/>
      <c r="T149" s="68"/>
      <c r="U149" s="129">
        <v>9600</v>
      </c>
      <c r="V149" s="33">
        <f t="shared" si="61"/>
        <v>5800</v>
      </c>
      <c r="W149" s="130" t="s">
        <v>2283</v>
      </c>
    </row>
    <row r="150" s="4" customFormat="1" ht="26.25" customHeight="1" spans="1:23">
      <c r="A150" s="117" t="s">
        <v>2542</v>
      </c>
      <c r="B150" s="29" t="s">
        <v>2544</v>
      </c>
      <c r="C150" s="118" t="s">
        <v>2538</v>
      </c>
      <c r="D150" s="29" t="s">
        <v>2539</v>
      </c>
      <c r="E150" s="30" t="s">
        <v>2561</v>
      </c>
      <c r="F150" s="32" t="s">
        <v>2562</v>
      </c>
      <c r="G150" s="33">
        <f t="shared" si="58"/>
        <v>28</v>
      </c>
      <c r="H150" s="33">
        <v>28</v>
      </c>
      <c r="I150" s="33"/>
      <c r="J150" s="33"/>
      <c r="K150" s="33"/>
      <c r="L150" s="33"/>
      <c r="M150" s="54">
        <f t="shared" si="59"/>
        <v>0</v>
      </c>
      <c r="N150" s="54"/>
      <c r="O150" s="54"/>
      <c r="P150" s="54"/>
      <c r="Q150" s="68">
        <f t="shared" si="60"/>
        <v>0</v>
      </c>
      <c r="R150" s="68"/>
      <c r="S150" s="68"/>
      <c r="T150" s="68"/>
      <c r="U150" s="129"/>
      <c r="V150" s="33">
        <f t="shared" si="61"/>
        <v>28</v>
      </c>
      <c r="W150" s="130" t="s">
        <v>2283</v>
      </c>
    </row>
    <row r="151" s="4" customFormat="1" ht="26.25" customHeight="1" spans="1:23">
      <c r="A151" s="115" t="s">
        <v>2563</v>
      </c>
      <c r="B151" s="23" t="s">
        <v>2564</v>
      </c>
      <c r="C151" s="116"/>
      <c r="D151" s="116"/>
      <c r="E151" s="84"/>
      <c r="F151" s="26"/>
      <c r="G151" s="27">
        <f t="shared" ref="G151:V151" si="62">SUM(G152:G153)</f>
        <v>382</v>
      </c>
      <c r="H151" s="27">
        <f t="shared" si="62"/>
        <v>382</v>
      </c>
      <c r="I151" s="27">
        <f t="shared" si="62"/>
        <v>0</v>
      </c>
      <c r="J151" s="27">
        <f t="shared" si="62"/>
        <v>0</v>
      </c>
      <c r="K151" s="27">
        <f t="shared" si="62"/>
        <v>1.2</v>
      </c>
      <c r="L151" s="27">
        <f t="shared" si="62"/>
        <v>0</v>
      </c>
      <c r="M151" s="27">
        <f t="shared" si="62"/>
        <v>0</v>
      </c>
      <c r="N151" s="27">
        <f t="shared" si="62"/>
        <v>0</v>
      </c>
      <c r="O151" s="27">
        <f t="shared" si="62"/>
        <v>0</v>
      </c>
      <c r="P151" s="27">
        <f t="shared" si="62"/>
        <v>0</v>
      </c>
      <c r="Q151" s="27">
        <f t="shared" si="62"/>
        <v>0</v>
      </c>
      <c r="R151" s="27">
        <f t="shared" si="62"/>
        <v>0</v>
      </c>
      <c r="S151" s="27">
        <f t="shared" si="62"/>
        <v>0</v>
      </c>
      <c r="T151" s="27">
        <f t="shared" si="62"/>
        <v>0</v>
      </c>
      <c r="U151" s="27">
        <f t="shared" si="62"/>
        <v>18</v>
      </c>
      <c r="V151" s="27">
        <f t="shared" si="62"/>
        <v>365.2</v>
      </c>
      <c r="W151" s="67"/>
    </row>
    <row r="152" s="4" customFormat="1" ht="26.25" customHeight="1" spans="1:23">
      <c r="A152" s="117" t="s">
        <v>2563</v>
      </c>
      <c r="B152" s="29" t="s">
        <v>2565</v>
      </c>
      <c r="C152" s="35" t="s">
        <v>2566</v>
      </c>
      <c r="D152" s="47" t="s">
        <v>2083</v>
      </c>
      <c r="E152" s="121" t="s">
        <v>2567</v>
      </c>
      <c r="F152" s="35" t="s">
        <v>2317</v>
      </c>
      <c r="G152" s="33">
        <f t="shared" ref="G152:G157" si="63">SUM(H152:J152)</f>
        <v>0</v>
      </c>
      <c r="H152" s="33"/>
      <c r="I152" s="33"/>
      <c r="J152" s="33"/>
      <c r="K152" s="55">
        <v>1.2</v>
      </c>
      <c r="L152" s="33"/>
      <c r="M152" s="54">
        <f t="shared" ref="M152:M157" si="64">N152+O152-P152</f>
        <v>0</v>
      </c>
      <c r="N152" s="54"/>
      <c r="O152" s="54"/>
      <c r="P152" s="54"/>
      <c r="Q152" s="68">
        <f t="shared" ref="Q152:Q157" si="65">R152+S152-T152</f>
        <v>0</v>
      </c>
      <c r="R152" s="68"/>
      <c r="S152" s="68"/>
      <c r="T152" s="68"/>
      <c r="U152" s="129"/>
      <c r="V152" s="33">
        <f t="shared" ref="V152:V157" si="66">G152+K152+L152+M152+Q152-U152</f>
        <v>1.2</v>
      </c>
      <c r="W152" s="130" t="s">
        <v>2283</v>
      </c>
    </row>
    <row r="153" s="4" customFormat="1" ht="26.25" customHeight="1" spans="1:23">
      <c r="A153" s="117" t="s">
        <v>2563</v>
      </c>
      <c r="B153" s="29" t="s">
        <v>2565</v>
      </c>
      <c r="C153" s="118" t="s">
        <v>2568</v>
      </c>
      <c r="D153" s="29" t="s">
        <v>2569</v>
      </c>
      <c r="E153" s="37" t="s">
        <v>2570</v>
      </c>
      <c r="F153" s="32" t="s">
        <v>952</v>
      </c>
      <c r="G153" s="33">
        <f t="shared" si="63"/>
        <v>382</v>
      </c>
      <c r="H153" s="33">
        <v>382</v>
      </c>
      <c r="I153" s="33"/>
      <c r="J153" s="33"/>
      <c r="K153" s="33"/>
      <c r="L153" s="33"/>
      <c r="M153" s="54">
        <f t="shared" si="64"/>
        <v>0</v>
      </c>
      <c r="N153" s="54"/>
      <c r="O153" s="54"/>
      <c r="P153" s="54"/>
      <c r="Q153" s="68">
        <f t="shared" si="65"/>
        <v>0</v>
      </c>
      <c r="R153" s="68"/>
      <c r="S153" s="68"/>
      <c r="T153" s="68"/>
      <c r="U153" s="129">
        <v>18</v>
      </c>
      <c r="V153" s="70">
        <f t="shared" si="66"/>
        <v>364</v>
      </c>
      <c r="W153" s="130" t="s">
        <v>2283</v>
      </c>
    </row>
    <row r="154" s="4" customFormat="1" ht="26.25" customHeight="1" spans="1:23">
      <c r="A154" s="115" t="s">
        <v>2571</v>
      </c>
      <c r="B154" s="23" t="s">
        <v>2572</v>
      </c>
      <c r="C154" s="116"/>
      <c r="D154" s="116"/>
      <c r="E154" s="84"/>
      <c r="F154" s="26"/>
      <c r="G154" s="27">
        <f t="shared" ref="G154:V154" si="67">SUM(G155:G157)</f>
        <v>27.2</v>
      </c>
      <c r="H154" s="27">
        <f t="shared" si="67"/>
        <v>27.2</v>
      </c>
      <c r="I154" s="27">
        <f t="shared" si="67"/>
        <v>0</v>
      </c>
      <c r="J154" s="27">
        <f t="shared" si="67"/>
        <v>0</v>
      </c>
      <c r="K154" s="27">
        <f t="shared" si="67"/>
        <v>0.3</v>
      </c>
      <c r="L154" s="27">
        <f t="shared" si="67"/>
        <v>0</v>
      </c>
      <c r="M154" s="27">
        <f t="shared" si="67"/>
        <v>0</v>
      </c>
      <c r="N154" s="27">
        <f t="shared" si="67"/>
        <v>0</v>
      </c>
      <c r="O154" s="27">
        <f t="shared" si="67"/>
        <v>0</v>
      </c>
      <c r="P154" s="27">
        <f t="shared" si="67"/>
        <v>0</v>
      </c>
      <c r="Q154" s="27">
        <f t="shared" si="67"/>
        <v>0</v>
      </c>
      <c r="R154" s="27">
        <f t="shared" si="67"/>
        <v>0</v>
      </c>
      <c r="S154" s="27">
        <f t="shared" si="67"/>
        <v>0</v>
      </c>
      <c r="T154" s="27">
        <f t="shared" si="67"/>
        <v>0</v>
      </c>
      <c r="U154" s="27">
        <f t="shared" si="67"/>
        <v>0</v>
      </c>
      <c r="V154" s="27">
        <f t="shared" si="67"/>
        <v>27.5</v>
      </c>
      <c r="W154" s="67"/>
    </row>
    <row r="155" s="4" customFormat="1" ht="26.25" customHeight="1" spans="1:23">
      <c r="A155" s="117" t="s">
        <v>2571</v>
      </c>
      <c r="B155" s="29" t="s">
        <v>2573</v>
      </c>
      <c r="C155" s="118" t="s">
        <v>2280</v>
      </c>
      <c r="D155" s="119" t="s">
        <v>2083</v>
      </c>
      <c r="E155" s="30" t="s">
        <v>2574</v>
      </c>
      <c r="F155" s="32" t="s">
        <v>2575</v>
      </c>
      <c r="G155" s="33">
        <f t="shared" si="63"/>
        <v>7.2</v>
      </c>
      <c r="H155" s="33">
        <v>7.2</v>
      </c>
      <c r="I155" s="33"/>
      <c r="J155" s="33"/>
      <c r="K155" s="33"/>
      <c r="L155" s="33"/>
      <c r="M155" s="54">
        <f t="shared" si="64"/>
        <v>0</v>
      </c>
      <c r="N155" s="54"/>
      <c r="O155" s="54"/>
      <c r="P155" s="54"/>
      <c r="Q155" s="68">
        <f t="shared" si="65"/>
        <v>0</v>
      </c>
      <c r="R155" s="68"/>
      <c r="S155" s="68"/>
      <c r="T155" s="68"/>
      <c r="U155" s="129"/>
      <c r="V155" s="33">
        <f t="shared" si="66"/>
        <v>7.2</v>
      </c>
      <c r="W155" s="130" t="s">
        <v>2283</v>
      </c>
    </row>
    <row r="156" s="4" customFormat="1" ht="26.25" customHeight="1" spans="1:23">
      <c r="A156" s="117" t="s">
        <v>2571</v>
      </c>
      <c r="B156" s="29" t="s">
        <v>2573</v>
      </c>
      <c r="C156" s="118" t="s">
        <v>2280</v>
      </c>
      <c r="D156" s="119" t="s">
        <v>2083</v>
      </c>
      <c r="E156" s="30" t="s">
        <v>2576</v>
      </c>
      <c r="F156" s="32" t="s">
        <v>2577</v>
      </c>
      <c r="G156" s="33">
        <f t="shared" si="63"/>
        <v>20</v>
      </c>
      <c r="H156" s="33">
        <v>20</v>
      </c>
      <c r="I156" s="33"/>
      <c r="J156" s="33"/>
      <c r="K156" s="33"/>
      <c r="L156" s="33"/>
      <c r="M156" s="54">
        <f t="shared" si="64"/>
        <v>0</v>
      </c>
      <c r="N156" s="54"/>
      <c r="O156" s="54"/>
      <c r="P156" s="54"/>
      <c r="Q156" s="68">
        <f t="shared" si="65"/>
        <v>0</v>
      </c>
      <c r="R156" s="68"/>
      <c r="S156" s="68"/>
      <c r="T156" s="68"/>
      <c r="U156" s="129"/>
      <c r="V156" s="33">
        <f t="shared" si="66"/>
        <v>20</v>
      </c>
      <c r="W156" s="130" t="s">
        <v>2283</v>
      </c>
    </row>
    <row r="157" s="4" customFormat="1" ht="26.25" customHeight="1" spans="1:23">
      <c r="A157" s="117" t="s">
        <v>2571</v>
      </c>
      <c r="B157" s="29" t="s">
        <v>2573</v>
      </c>
      <c r="C157" s="118" t="s">
        <v>2280</v>
      </c>
      <c r="D157" s="119" t="s">
        <v>2083</v>
      </c>
      <c r="E157" s="121" t="s">
        <v>2578</v>
      </c>
      <c r="F157" s="35" t="s">
        <v>2317</v>
      </c>
      <c r="G157" s="33">
        <f t="shared" si="63"/>
        <v>0</v>
      </c>
      <c r="H157" s="33"/>
      <c r="I157" s="33"/>
      <c r="J157" s="33"/>
      <c r="K157" s="55">
        <v>0.3</v>
      </c>
      <c r="L157" s="33"/>
      <c r="M157" s="54">
        <f t="shared" si="64"/>
        <v>0</v>
      </c>
      <c r="N157" s="54"/>
      <c r="O157" s="54"/>
      <c r="P157" s="54"/>
      <c r="Q157" s="68">
        <f t="shared" si="65"/>
        <v>0</v>
      </c>
      <c r="R157" s="68"/>
      <c r="S157" s="68"/>
      <c r="T157" s="68"/>
      <c r="U157" s="129"/>
      <c r="V157" s="33">
        <f t="shared" si="66"/>
        <v>0.3</v>
      </c>
      <c r="W157" s="130" t="s">
        <v>2283</v>
      </c>
    </row>
    <row r="158" s="4" customFormat="1" ht="26.25" customHeight="1" spans="1:23">
      <c r="A158" s="115" t="s">
        <v>2579</v>
      </c>
      <c r="B158" s="23" t="s">
        <v>2580</v>
      </c>
      <c r="C158" s="116"/>
      <c r="D158" s="116"/>
      <c r="E158" s="84"/>
      <c r="F158" s="26"/>
      <c r="G158" s="27">
        <f t="shared" ref="G158:V158" si="68">SUM(G159:G166)</f>
        <v>103</v>
      </c>
      <c r="H158" s="27">
        <f t="shared" si="68"/>
        <v>103</v>
      </c>
      <c r="I158" s="27">
        <f t="shared" si="68"/>
        <v>0</v>
      </c>
      <c r="J158" s="27">
        <f t="shared" si="68"/>
        <v>0</v>
      </c>
      <c r="K158" s="27">
        <f t="shared" si="68"/>
        <v>0</v>
      </c>
      <c r="L158" s="27">
        <f t="shared" si="68"/>
        <v>0</v>
      </c>
      <c r="M158" s="27">
        <f t="shared" si="68"/>
        <v>0</v>
      </c>
      <c r="N158" s="27">
        <f t="shared" si="68"/>
        <v>0</v>
      </c>
      <c r="O158" s="27">
        <f t="shared" si="68"/>
        <v>358</v>
      </c>
      <c r="P158" s="27">
        <f t="shared" si="68"/>
        <v>358</v>
      </c>
      <c r="Q158" s="27">
        <f t="shared" si="68"/>
        <v>102</v>
      </c>
      <c r="R158" s="27">
        <f t="shared" si="68"/>
        <v>0</v>
      </c>
      <c r="S158" s="27">
        <f t="shared" si="68"/>
        <v>400</v>
      </c>
      <c r="T158" s="27">
        <f t="shared" si="68"/>
        <v>298</v>
      </c>
      <c r="U158" s="27">
        <f t="shared" si="68"/>
        <v>3.5</v>
      </c>
      <c r="V158" s="27">
        <f t="shared" si="68"/>
        <v>201.5</v>
      </c>
      <c r="W158" s="67"/>
    </row>
    <row r="159" s="4" customFormat="1" ht="26.25" customHeight="1" spans="1:23">
      <c r="A159" s="117" t="s">
        <v>2579</v>
      </c>
      <c r="B159" s="29" t="s">
        <v>2581</v>
      </c>
      <c r="C159" s="35" t="s">
        <v>2582</v>
      </c>
      <c r="D159" s="76" t="s">
        <v>2583</v>
      </c>
      <c r="E159" s="121" t="s">
        <v>2584</v>
      </c>
      <c r="F159" s="35" t="s">
        <v>2585</v>
      </c>
      <c r="G159" s="33">
        <f t="shared" ref="G159:G166" si="69">SUM(H159:J159)</f>
        <v>0</v>
      </c>
      <c r="H159" s="33"/>
      <c r="I159" s="33"/>
      <c r="J159" s="33"/>
      <c r="K159" s="33"/>
      <c r="L159" s="33"/>
      <c r="M159" s="54">
        <f t="shared" ref="M159:M166" si="70">N159+O159-P159</f>
        <v>0</v>
      </c>
      <c r="N159" s="54"/>
      <c r="O159" s="54">
        <v>36</v>
      </c>
      <c r="P159" s="54">
        <v>36</v>
      </c>
      <c r="Q159" s="68">
        <f t="shared" ref="Q159:Q166" si="71">R159+S159-T159</f>
        <v>0</v>
      </c>
      <c r="R159" s="68"/>
      <c r="S159" s="68"/>
      <c r="T159" s="68"/>
      <c r="U159" s="129"/>
      <c r="V159" s="54">
        <f t="shared" ref="V159:V166" si="72">G159+K159+L159+M159+Q159-U159</f>
        <v>0</v>
      </c>
      <c r="W159" s="92" t="s">
        <v>497</v>
      </c>
    </row>
    <row r="160" s="4" customFormat="1" ht="26.25" customHeight="1" spans="1:23">
      <c r="A160" s="117" t="s">
        <v>2579</v>
      </c>
      <c r="B160" s="29" t="s">
        <v>2581</v>
      </c>
      <c r="C160" s="35" t="s">
        <v>2582</v>
      </c>
      <c r="D160" s="38" t="s">
        <v>2583</v>
      </c>
      <c r="E160" s="121" t="s">
        <v>2584</v>
      </c>
      <c r="F160" s="38" t="s">
        <v>2585</v>
      </c>
      <c r="G160" s="33">
        <f t="shared" si="69"/>
        <v>0</v>
      </c>
      <c r="H160" s="33"/>
      <c r="I160" s="33"/>
      <c r="J160" s="33"/>
      <c r="K160" s="33"/>
      <c r="L160" s="33"/>
      <c r="M160" s="54">
        <f t="shared" si="70"/>
        <v>0</v>
      </c>
      <c r="N160" s="54"/>
      <c r="O160" s="54"/>
      <c r="P160" s="54"/>
      <c r="Q160" s="68">
        <f t="shared" si="71"/>
        <v>33</v>
      </c>
      <c r="R160" s="68"/>
      <c r="S160" s="68">
        <v>33</v>
      </c>
      <c r="T160" s="68"/>
      <c r="U160" s="129"/>
      <c r="V160" s="68">
        <f t="shared" si="72"/>
        <v>33</v>
      </c>
      <c r="W160" s="131" t="s">
        <v>2586</v>
      </c>
    </row>
    <row r="161" s="4" customFormat="1" ht="26.25" customHeight="1" spans="1:23">
      <c r="A161" s="117" t="s">
        <v>2579</v>
      </c>
      <c r="B161" s="29" t="s">
        <v>2581</v>
      </c>
      <c r="C161" s="118" t="s">
        <v>2404</v>
      </c>
      <c r="D161" s="120" t="s">
        <v>2405</v>
      </c>
      <c r="E161" s="37" t="s">
        <v>2587</v>
      </c>
      <c r="F161" s="32" t="s">
        <v>2588</v>
      </c>
      <c r="G161" s="33">
        <f t="shared" si="69"/>
        <v>21</v>
      </c>
      <c r="H161" s="33">
        <v>21</v>
      </c>
      <c r="I161" s="33"/>
      <c r="J161" s="33"/>
      <c r="K161" s="33"/>
      <c r="L161" s="33"/>
      <c r="M161" s="54">
        <f t="shared" si="70"/>
        <v>0</v>
      </c>
      <c r="N161" s="54"/>
      <c r="O161" s="54"/>
      <c r="P161" s="54"/>
      <c r="Q161" s="68">
        <f t="shared" si="71"/>
        <v>0</v>
      </c>
      <c r="R161" s="68"/>
      <c r="S161" s="68"/>
      <c r="T161" s="68"/>
      <c r="U161" s="129"/>
      <c r="V161" s="70">
        <f t="shared" si="72"/>
        <v>21</v>
      </c>
      <c r="W161" s="130" t="s">
        <v>2283</v>
      </c>
    </row>
    <row r="162" s="4" customFormat="1" ht="26.25" customHeight="1" spans="1:23">
      <c r="A162" s="117" t="s">
        <v>2579</v>
      </c>
      <c r="B162" s="29" t="s">
        <v>2581</v>
      </c>
      <c r="C162" s="118" t="s">
        <v>2404</v>
      </c>
      <c r="D162" s="119" t="s">
        <v>2405</v>
      </c>
      <c r="E162" s="30" t="s">
        <v>2589</v>
      </c>
      <c r="F162" s="32" t="s">
        <v>949</v>
      </c>
      <c r="G162" s="33">
        <f t="shared" si="69"/>
        <v>32</v>
      </c>
      <c r="H162" s="33">
        <v>32</v>
      </c>
      <c r="I162" s="33"/>
      <c r="J162" s="33"/>
      <c r="K162" s="33"/>
      <c r="L162" s="33"/>
      <c r="M162" s="54">
        <f t="shared" si="70"/>
        <v>0</v>
      </c>
      <c r="N162" s="54"/>
      <c r="O162" s="54"/>
      <c r="P162" s="54"/>
      <c r="Q162" s="68">
        <f t="shared" si="71"/>
        <v>0</v>
      </c>
      <c r="R162" s="68"/>
      <c r="S162" s="68"/>
      <c r="T162" s="68"/>
      <c r="U162" s="129"/>
      <c r="V162" s="33">
        <f t="shared" si="72"/>
        <v>32</v>
      </c>
      <c r="W162" s="130" t="s">
        <v>2283</v>
      </c>
    </row>
    <row r="163" s="4" customFormat="1" ht="26.25" customHeight="1" spans="1:23">
      <c r="A163" s="117" t="s">
        <v>2579</v>
      </c>
      <c r="B163" s="29" t="s">
        <v>2581</v>
      </c>
      <c r="C163" s="118" t="s">
        <v>2404</v>
      </c>
      <c r="D163" s="119" t="s">
        <v>2405</v>
      </c>
      <c r="E163" s="30" t="s">
        <v>2590</v>
      </c>
      <c r="F163" s="32" t="s">
        <v>954</v>
      </c>
      <c r="G163" s="33">
        <f t="shared" si="69"/>
        <v>20</v>
      </c>
      <c r="H163" s="33">
        <v>20</v>
      </c>
      <c r="I163" s="33"/>
      <c r="J163" s="33"/>
      <c r="K163" s="33">
        <v>-6.5</v>
      </c>
      <c r="L163" s="33"/>
      <c r="M163" s="54">
        <f t="shared" si="70"/>
        <v>0</v>
      </c>
      <c r="N163" s="54"/>
      <c r="O163" s="54"/>
      <c r="P163" s="54"/>
      <c r="Q163" s="68">
        <f t="shared" si="71"/>
        <v>0</v>
      </c>
      <c r="R163" s="68"/>
      <c r="S163" s="68"/>
      <c r="T163" s="68"/>
      <c r="U163" s="129">
        <v>3.5</v>
      </c>
      <c r="V163" s="33">
        <f t="shared" si="72"/>
        <v>10</v>
      </c>
      <c r="W163" s="130" t="s">
        <v>2283</v>
      </c>
    </row>
    <row r="164" s="4" customFormat="1" ht="26.25" customHeight="1" spans="1:23">
      <c r="A164" s="117" t="s">
        <v>2579</v>
      </c>
      <c r="B164" s="29" t="s">
        <v>2581</v>
      </c>
      <c r="C164" s="118" t="s">
        <v>2404</v>
      </c>
      <c r="D164" s="86" t="s">
        <v>2405</v>
      </c>
      <c r="E164" s="121" t="s">
        <v>2591</v>
      </c>
      <c r="F164" s="38" t="s">
        <v>2592</v>
      </c>
      <c r="G164" s="33">
        <f t="shared" si="69"/>
        <v>0</v>
      </c>
      <c r="H164" s="33"/>
      <c r="I164" s="33"/>
      <c r="J164" s="33"/>
      <c r="K164" s="33"/>
      <c r="L164" s="33"/>
      <c r="M164" s="54">
        <f t="shared" si="70"/>
        <v>0</v>
      </c>
      <c r="N164" s="54"/>
      <c r="O164" s="54"/>
      <c r="P164" s="54"/>
      <c r="Q164" s="68">
        <f t="shared" si="71"/>
        <v>69</v>
      </c>
      <c r="R164" s="68"/>
      <c r="S164" s="68">
        <v>367</v>
      </c>
      <c r="T164" s="73">
        <v>298</v>
      </c>
      <c r="U164" s="129"/>
      <c r="V164" s="68">
        <f t="shared" si="72"/>
        <v>69</v>
      </c>
      <c r="W164" s="91" t="s">
        <v>2593</v>
      </c>
    </row>
    <row r="165" s="4" customFormat="1" ht="26.25" customHeight="1" spans="1:23">
      <c r="A165" s="117" t="s">
        <v>2579</v>
      </c>
      <c r="B165" s="29" t="s">
        <v>2581</v>
      </c>
      <c r="C165" s="118" t="s">
        <v>2404</v>
      </c>
      <c r="D165" s="82" t="s">
        <v>2405</v>
      </c>
      <c r="E165" s="121" t="s">
        <v>2591</v>
      </c>
      <c r="F165" s="35" t="s">
        <v>2592</v>
      </c>
      <c r="G165" s="33">
        <f t="shared" si="69"/>
        <v>0</v>
      </c>
      <c r="H165" s="33"/>
      <c r="I165" s="33"/>
      <c r="J165" s="33"/>
      <c r="K165" s="33"/>
      <c r="L165" s="33"/>
      <c r="M165" s="54">
        <f t="shared" si="70"/>
        <v>0</v>
      </c>
      <c r="N165" s="54"/>
      <c r="O165" s="54">
        <v>322</v>
      </c>
      <c r="P165" s="73">
        <f>272+50</f>
        <v>322</v>
      </c>
      <c r="Q165" s="68">
        <f t="shared" si="71"/>
        <v>0</v>
      </c>
      <c r="R165" s="68"/>
      <c r="S165" s="68"/>
      <c r="T165" s="68"/>
      <c r="U165" s="129"/>
      <c r="V165" s="54">
        <f t="shared" si="72"/>
        <v>0</v>
      </c>
      <c r="W165" s="92" t="s">
        <v>588</v>
      </c>
    </row>
    <row r="166" s="4" customFormat="1" ht="26.25" customHeight="1" spans="1:23">
      <c r="A166" s="117" t="s">
        <v>2579</v>
      </c>
      <c r="B166" s="29" t="s">
        <v>2581</v>
      </c>
      <c r="C166" s="118" t="s">
        <v>2404</v>
      </c>
      <c r="D166" s="119" t="s">
        <v>2405</v>
      </c>
      <c r="E166" s="30" t="s">
        <v>2591</v>
      </c>
      <c r="F166" s="32" t="s">
        <v>2592</v>
      </c>
      <c r="G166" s="33">
        <f t="shared" si="69"/>
        <v>30</v>
      </c>
      <c r="H166" s="33">
        <v>30</v>
      </c>
      <c r="I166" s="33"/>
      <c r="J166" s="33"/>
      <c r="K166" s="33">
        <v>6.5</v>
      </c>
      <c r="L166" s="33"/>
      <c r="M166" s="54">
        <f t="shared" si="70"/>
        <v>0</v>
      </c>
      <c r="N166" s="54"/>
      <c r="O166" s="54"/>
      <c r="P166" s="54"/>
      <c r="Q166" s="68">
        <f t="shared" si="71"/>
        <v>0</v>
      </c>
      <c r="R166" s="68"/>
      <c r="S166" s="68"/>
      <c r="T166" s="68"/>
      <c r="U166" s="129"/>
      <c r="V166" s="33">
        <f t="shared" si="72"/>
        <v>36.5</v>
      </c>
      <c r="W166" s="130" t="s">
        <v>2283</v>
      </c>
    </row>
    <row r="167" s="4" customFormat="1" ht="26.25" customHeight="1" spans="1:23">
      <c r="A167" s="115">
        <v>101001</v>
      </c>
      <c r="B167" s="23" t="s">
        <v>2594</v>
      </c>
      <c r="C167" s="116"/>
      <c r="D167" s="116"/>
      <c r="E167" s="84"/>
      <c r="F167" s="26"/>
      <c r="G167" s="27">
        <f t="shared" ref="G167:V167" si="73">SUM(G168:G208)</f>
        <v>2020.47</v>
      </c>
      <c r="H167" s="27">
        <f t="shared" si="73"/>
        <v>1505.3</v>
      </c>
      <c r="I167" s="27">
        <f t="shared" si="73"/>
        <v>515.17</v>
      </c>
      <c r="J167" s="27">
        <f t="shared" si="73"/>
        <v>0</v>
      </c>
      <c r="K167" s="27">
        <f t="shared" si="73"/>
        <v>3.8</v>
      </c>
      <c r="L167" s="27">
        <f t="shared" si="73"/>
        <v>143.329</v>
      </c>
      <c r="M167" s="27">
        <f t="shared" si="73"/>
        <v>2042.4421</v>
      </c>
      <c r="N167" s="27">
        <f t="shared" si="73"/>
        <v>0</v>
      </c>
      <c r="O167" s="27">
        <f t="shared" si="73"/>
        <v>3465.4421</v>
      </c>
      <c r="P167" s="27">
        <f t="shared" si="73"/>
        <v>1423</v>
      </c>
      <c r="Q167" s="27">
        <f t="shared" si="73"/>
        <v>410.5123</v>
      </c>
      <c r="R167" s="27">
        <f t="shared" si="73"/>
        <v>104.7551</v>
      </c>
      <c r="S167" s="27">
        <f t="shared" si="73"/>
        <v>331.7572</v>
      </c>
      <c r="T167" s="27">
        <f t="shared" si="73"/>
        <v>26</v>
      </c>
      <c r="U167" s="27">
        <f t="shared" si="73"/>
        <v>297.172</v>
      </c>
      <c r="V167" s="27">
        <f t="shared" si="73"/>
        <v>4323.3814</v>
      </c>
      <c r="W167" s="67"/>
    </row>
    <row r="168" s="4" customFormat="1" ht="26.25" customHeight="1" spans="1:23">
      <c r="A168" s="117">
        <v>101001</v>
      </c>
      <c r="B168" s="29" t="s">
        <v>2595</v>
      </c>
      <c r="C168" s="35" t="s">
        <v>2596</v>
      </c>
      <c r="D168" s="47" t="s">
        <v>2083</v>
      </c>
      <c r="E168" s="121" t="s">
        <v>2597</v>
      </c>
      <c r="F168" s="35" t="s">
        <v>2470</v>
      </c>
      <c r="G168" s="33">
        <f t="shared" ref="G168:G204" si="74">SUM(H168:J168)</f>
        <v>0</v>
      </c>
      <c r="H168" s="33"/>
      <c r="I168" s="33"/>
      <c r="J168" s="33"/>
      <c r="K168" s="55">
        <v>3.8</v>
      </c>
      <c r="L168" s="33"/>
      <c r="M168" s="54">
        <f t="shared" ref="M168:M208" si="75">N168+O168-P168</f>
        <v>0</v>
      </c>
      <c r="N168" s="54"/>
      <c r="O168" s="54"/>
      <c r="P168" s="54"/>
      <c r="Q168" s="68">
        <f t="shared" ref="Q168:Q208" si="76">R168+S168-T168</f>
        <v>0</v>
      </c>
      <c r="R168" s="68"/>
      <c r="S168" s="68"/>
      <c r="T168" s="68"/>
      <c r="U168" s="129"/>
      <c r="V168" s="33">
        <f t="shared" ref="V168:V208" si="77">G168+K168+L168+M168+Q168-U168</f>
        <v>3.8</v>
      </c>
      <c r="W168" s="130" t="s">
        <v>2283</v>
      </c>
    </row>
    <row r="169" s="4" customFormat="1" ht="26.25" customHeight="1" spans="1:23">
      <c r="A169" s="117">
        <v>101001</v>
      </c>
      <c r="B169" s="29" t="s">
        <v>2595</v>
      </c>
      <c r="C169" s="35" t="s">
        <v>2596</v>
      </c>
      <c r="D169" s="132" t="s">
        <v>2083</v>
      </c>
      <c r="E169" s="127" t="s">
        <v>2598</v>
      </c>
      <c r="F169" s="35" t="s">
        <v>956</v>
      </c>
      <c r="G169" s="33">
        <f t="shared" si="74"/>
        <v>0</v>
      </c>
      <c r="H169" s="33"/>
      <c r="I169" s="33"/>
      <c r="J169" s="33"/>
      <c r="K169" s="33"/>
      <c r="L169" s="128">
        <v>4.229</v>
      </c>
      <c r="M169" s="54">
        <f t="shared" si="75"/>
        <v>0</v>
      </c>
      <c r="N169" s="54"/>
      <c r="O169" s="54"/>
      <c r="P169" s="54"/>
      <c r="Q169" s="68">
        <f t="shared" si="76"/>
        <v>0</v>
      </c>
      <c r="R169" s="68"/>
      <c r="S169" s="68"/>
      <c r="T169" s="68"/>
      <c r="U169" s="129"/>
      <c r="V169" s="70">
        <f t="shared" si="77"/>
        <v>4.229</v>
      </c>
      <c r="W169" s="130" t="s">
        <v>2283</v>
      </c>
    </row>
    <row r="170" s="4" customFormat="1" ht="26.25" customHeight="1" spans="1:23">
      <c r="A170" s="117">
        <v>101001</v>
      </c>
      <c r="B170" s="29" t="s">
        <v>2595</v>
      </c>
      <c r="C170" s="118" t="s">
        <v>2599</v>
      </c>
      <c r="D170" s="29" t="s">
        <v>2600</v>
      </c>
      <c r="E170" s="30" t="s">
        <v>2601</v>
      </c>
      <c r="F170" s="32" t="s">
        <v>2602</v>
      </c>
      <c r="G170" s="33">
        <f t="shared" si="74"/>
        <v>50</v>
      </c>
      <c r="H170" s="33">
        <v>50</v>
      </c>
      <c r="I170" s="33"/>
      <c r="J170" s="33"/>
      <c r="K170" s="33"/>
      <c r="L170" s="33"/>
      <c r="M170" s="54">
        <f t="shared" si="75"/>
        <v>0</v>
      </c>
      <c r="N170" s="54"/>
      <c r="O170" s="54"/>
      <c r="P170" s="54"/>
      <c r="Q170" s="68">
        <f t="shared" si="76"/>
        <v>0</v>
      </c>
      <c r="R170" s="68"/>
      <c r="S170" s="68"/>
      <c r="T170" s="68"/>
      <c r="U170" s="129"/>
      <c r="V170" s="33">
        <f t="shared" si="77"/>
        <v>50</v>
      </c>
      <c r="W170" s="130" t="s">
        <v>2283</v>
      </c>
    </row>
    <row r="171" s="4" customFormat="1" ht="26.25" customHeight="1" spans="1:23">
      <c r="A171" s="117">
        <v>101001</v>
      </c>
      <c r="B171" s="29" t="s">
        <v>2595</v>
      </c>
      <c r="C171" s="118" t="s">
        <v>2603</v>
      </c>
      <c r="D171" s="29" t="s">
        <v>2604</v>
      </c>
      <c r="E171" s="37" t="s">
        <v>2605</v>
      </c>
      <c r="F171" s="32" t="s">
        <v>959</v>
      </c>
      <c r="G171" s="33">
        <f t="shared" si="74"/>
        <v>55</v>
      </c>
      <c r="H171" s="33">
        <v>55</v>
      </c>
      <c r="I171" s="33"/>
      <c r="J171" s="33"/>
      <c r="K171" s="33"/>
      <c r="L171" s="33"/>
      <c r="M171" s="54">
        <f t="shared" si="75"/>
        <v>0</v>
      </c>
      <c r="N171" s="54"/>
      <c r="O171" s="54"/>
      <c r="P171" s="54"/>
      <c r="Q171" s="68">
        <f t="shared" si="76"/>
        <v>0</v>
      </c>
      <c r="R171" s="68"/>
      <c r="S171" s="68"/>
      <c r="T171" s="68"/>
      <c r="U171" s="129">
        <v>55</v>
      </c>
      <c r="V171" s="33">
        <f t="shared" si="77"/>
        <v>0</v>
      </c>
      <c r="W171" s="130" t="s">
        <v>2283</v>
      </c>
    </row>
    <row r="172" s="4" customFormat="1" ht="26.25" customHeight="1" spans="1:23">
      <c r="A172" s="117">
        <v>101001</v>
      </c>
      <c r="B172" s="29" t="s">
        <v>2595</v>
      </c>
      <c r="C172" s="133">
        <v>2130599</v>
      </c>
      <c r="D172" s="29" t="s">
        <v>2606</v>
      </c>
      <c r="E172" s="30" t="s">
        <v>2607</v>
      </c>
      <c r="F172" s="32" t="s">
        <v>964</v>
      </c>
      <c r="G172" s="33">
        <f t="shared" si="74"/>
        <v>20</v>
      </c>
      <c r="H172" s="33">
        <v>20</v>
      </c>
      <c r="I172" s="33"/>
      <c r="J172" s="33"/>
      <c r="K172" s="33"/>
      <c r="L172" s="33"/>
      <c r="M172" s="54">
        <f t="shared" si="75"/>
        <v>0</v>
      </c>
      <c r="N172" s="54"/>
      <c r="O172" s="54"/>
      <c r="P172" s="54"/>
      <c r="Q172" s="68">
        <f t="shared" si="76"/>
        <v>0</v>
      </c>
      <c r="R172" s="68"/>
      <c r="S172" s="68"/>
      <c r="T172" s="68"/>
      <c r="U172" s="129">
        <v>10.5</v>
      </c>
      <c r="V172" s="33">
        <f t="shared" si="77"/>
        <v>9.5</v>
      </c>
      <c r="W172" s="130" t="s">
        <v>2283</v>
      </c>
    </row>
    <row r="173" s="4" customFormat="1" ht="26.25" customHeight="1" spans="1:23">
      <c r="A173" s="117">
        <v>101001</v>
      </c>
      <c r="B173" s="29" t="s">
        <v>2595</v>
      </c>
      <c r="C173" s="35" t="s">
        <v>2608</v>
      </c>
      <c r="D173" s="38" t="s">
        <v>2609</v>
      </c>
      <c r="E173" s="121" t="s">
        <v>2610</v>
      </c>
      <c r="F173" s="38" t="s">
        <v>2611</v>
      </c>
      <c r="G173" s="33">
        <f t="shared" si="74"/>
        <v>0</v>
      </c>
      <c r="H173" s="33"/>
      <c r="I173" s="33"/>
      <c r="J173" s="33"/>
      <c r="K173" s="33"/>
      <c r="L173" s="33"/>
      <c r="M173" s="54">
        <f t="shared" si="75"/>
        <v>0</v>
      </c>
      <c r="N173" s="54"/>
      <c r="O173" s="54"/>
      <c r="P173" s="54"/>
      <c r="Q173" s="68">
        <f t="shared" si="76"/>
        <v>234</v>
      </c>
      <c r="R173" s="68"/>
      <c r="S173" s="68">
        <v>260</v>
      </c>
      <c r="T173" s="68">
        <v>26</v>
      </c>
      <c r="U173" s="129"/>
      <c r="V173" s="68">
        <f t="shared" si="77"/>
        <v>234</v>
      </c>
      <c r="W173" s="91" t="s">
        <v>2612</v>
      </c>
    </row>
    <row r="174" s="4" customFormat="1" ht="26.25" customHeight="1" spans="1:23">
      <c r="A174" s="117">
        <v>101001</v>
      </c>
      <c r="B174" s="29" t="s">
        <v>2595</v>
      </c>
      <c r="C174" s="35" t="s">
        <v>2613</v>
      </c>
      <c r="D174" s="76" t="s">
        <v>2614</v>
      </c>
      <c r="E174" s="121" t="s">
        <v>2615</v>
      </c>
      <c r="F174" s="35" t="s">
        <v>2616</v>
      </c>
      <c r="G174" s="33">
        <f t="shared" si="74"/>
        <v>0</v>
      </c>
      <c r="H174" s="33"/>
      <c r="I174" s="33"/>
      <c r="J174" s="33"/>
      <c r="K174" s="33"/>
      <c r="L174" s="33"/>
      <c r="M174" s="54">
        <f t="shared" si="75"/>
        <v>76</v>
      </c>
      <c r="N174" s="54"/>
      <c r="O174" s="54">
        <v>1499</v>
      </c>
      <c r="P174" s="54">
        <v>1423</v>
      </c>
      <c r="Q174" s="68">
        <f t="shared" si="76"/>
        <v>0</v>
      </c>
      <c r="R174" s="68"/>
      <c r="S174" s="68"/>
      <c r="T174" s="68"/>
      <c r="U174" s="129"/>
      <c r="V174" s="54">
        <f t="shared" si="77"/>
        <v>76</v>
      </c>
      <c r="W174" s="92" t="s">
        <v>604</v>
      </c>
    </row>
    <row r="175" s="4" customFormat="1" ht="26.25" customHeight="1" spans="1:23">
      <c r="A175" s="117">
        <v>101001</v>
      </c>
      <c r="B175" s="29" t="s">
        <v>2595</v>
      </c>
      <c r="C175" s="35" t="s">
        <v>2613</v>
      </c>
      <c r="D175" s="76" t="s">
        <v>2614</v>
      </c>
      <c r="E175" s="121" t="s">
        <v>2615</v>
      </c>
      <c r="F175" s="35" t="s">
        <v>2616</v>
      </c>
      <c r="G175" s="33">
        <f t="shared" si="74"/>
        <v>0</v>
      </c>
      <c r="H175" s="33"/>
      <c r="I175" s="33"/>
      <c r="J175" s="33"/>
      <c r="K175" s="33"/>
      <c r="L175" s="33"/>
      <c r="M175" s="54">
        <f t="shared" si="75"/>
        <v>18</v>
      </c>
      <c r="N175" s="54"/>
      <c r="O175" s="54">
        <v>18</v>
      </c>
      <c r="P175" s="54"/>
      <c r="Q175" s="68">
        <f t="shared" si="76"/>
        <v>0</v>
      </c>
      <c r="R175" s="68"/>
      <c r="S175" s="68"/>
      <c r="T175" s="68"/>
      <c r="U175" s="129"/>
      <c r="V175" s="54">
        <f t="shared" si="77"/>
        <v>18</v>
      </c>
      <c r="W175" s="92" t="s">
        <v>608</v>
      </c>
    </row>
    <row r="176" s="4" customFormat="1" ht="26.25" customHeight="1" spans="1:23">
      <c r="A176" s="117">
        <v>101001</v>
      </c>
      <c r="B176" s="29" t="s">
        <v>2595</v>
      </c>
      <c r="C176" s="118" t="s">
        <v>2617</v>
      </c>
      <c r="D176" s="119" t="s">
        <v>2618</v>
      </c>
      <c r="E176" s="30" t="s">
        <v>2619</v>
      </c>
      <c r="F176" s="32" t="s">
        <v>961</v>
      </c>
      <c r="G176" s="33">
        <f t="shared" si="74"/>
        <v>3.3</v>
      </c>
      <c r="H176" s="33">
        <v>3.3</v>
      </c>
      <c r="I176" s="33"/>
      <c r="J176" s="33"/>
      <c r="K176" s="33"/>
      <c r="L176" s="33"/>
      <c r="M176" s="54">
        <f t="shared" si="75"/>
        <v>0</v>
      </c>
      <c r="N176" s="54"/>
      <c r="O176" s="54"/>
      <c r="P176" s="54"/>
      <c r="Q176" s="68">
        <f t="shared" si="76"/>
        <v>0</v>
      </c>
      <c r="R176" s="68"/>
      <c r="S176" s="68"/>
      <c r="T176" s="68"/>
      <c r="U176" s="129">
        <v>3.3</v>
      </c>
      <c r="V176" s="33">
        <f t="shared" si="77"/>
        <v>0</v>
      </c>
      <c r="W176" s="130" t="s">
        <v>2283</v>
      </c>
    </row>
    <row r="177" s="4" customFormat="1" ht="26.25" customHeight="1" spans="1:23">
      <c r="A177" s="117">
        <v>101001</v>
      </c>
      <c r="B177" s="29" t="s">
        <v>2595</v>
      </c>
      <c r="C177" s="133">
        <v>2130599</v>
      </c>
      <c r="D177" s="119" t="s">
        <v>2618</v>
      </c>
      <c r="E177" s="30" t="s">
        <v>2620</v>
      </c>
      <c r="F177" s="32" t="s">
        <v>965</v>
      </c>
      <c r="G177" s="33">
        <f t="shared" si="74"/>
        <v>11</v>
      </c>
      <c r="H177" s="33">
        <v>11</v>
      </c>
      <c r="I177" s="33"/>
      <c r="J177" s="33"/>
      <c r="K177" s="33"/>
      <c r="L177" s="33"/>
      <c r="M177" s="54">
        <f t="shared" si="75"/>
        <v>0</v>
      </c>
      <c r="N177" s="54"/>
      <c r="O177" s="54"/>
      <c r="P177" s="54"/>
      <c r="Q177" s="68">
        <f t="shared" si="76"/>
        <v>0</v>
      </c>
      <c r="R177" s="68"/>
      <c r="S177" s="68"/>
      <c r="T177" s="68"/>
      <c r="U177" s="129">
        <v>3.5</v>
      </c>
      <c r="V177" s="33">
        <f t="shared" si="77"/>
        <v>7.5</v>
      </c>
      <c r="W177" s="130" t="s">
        <v>2283</v>
      </c>
    </row>
    <row r="178" s="4" customFormat="1" ht="26.25" customHeight="1" spans="1:23">
      <c r="A178" s="117">
        <v>101001</v>
      </c>
      <c r="B178" s="29" t="s">
        <v>2595</v>
      </c>
      <c r="C178" s="118" t="s">
        <v>2617</v>
      </c>
      <c r="D178" s="120" t="s">
        <v>2618</v>
      </c>
      <c r="E178" s="37" t="s">
        <v>2621</v>
      </c>
      <c r="F178" s="32" t="s">
        <v>2622</v>
      </c>
      <c r="G178" s="33">
        <f t="shared" si="74"/>
        <v>92</v>
      </c>
      <c r="H178" s="33">
        <v>92</v>
      </c>
      <c r="I178" s="33"/>
      <c r="J178" s="33"/>
      <c r="K178" s="33"/>
      <c r="L178" s="33"/>
      <c r="M178" s="54">
        <f t="shared" si="75"/>
        <v>0</v>
      </c>
      <c r="N178" s="54"/>
      <c r="O178" s="54"/>
      <c r="P178" s="54"/>
      <c r="Q178" s="68">
        <f t="shared" si="76"/>
        <v>0</v>
      </c>
      <c r="R178" s="68"/>
      <c r="S178" s="68"/>
      <c r="T178" s="68"/>
      <c r="U178" s="129"/>
      <c r="V178" s="70">
        <f t="shared" si="77"/>
        <v>92</v>
      </c>
      <c r="W178" s="130" t="s">
        <v>2283</v>
      </c>
    </row>
    <row r="179" s="4" customFormat="1" ht="26.25" customHeight="1" spans="1:23">
      <c r="A179" s="117">
        <v>101001</v>
      </c>
      <c r="B179" s="29" t="s">
        <v>2595</v>
      </c>
      <c r="C179" s="118" t="s">
        <v>2617</v>
      </c>
      <c r="D179" s="119" t="s">
        <v>2618</v>
      </c>
      <c r="E179" s="30" t="s">
        <v>2623</v>
      </c>
      <c r="F179" s="32" t="s">
        <v>2624</v>
      </c>
      <c r="G179" s="33">
        <f t="shared" si="74"/>
        <v>80</v>
      </c>
      <c r="H179" s="33">
        <v>80</v>
      </c>
      <c r="I179" s="33"/>
      <c r="J179" s="33"/>
      <c r="K179" s="33"/>
      <c r="L179" s="33"/>
      <c r="M179" s="54">
        <f t="shared" si="75"/>
        <v>0</v>
      </c>
      <c r="N179" s="54"/>
      <c r="O179" s="54"/>
      <c r="P179" s="54"/>
      <c r="Q179" s="68">
        <f t="shared" si="76"/>
        <v>0</v>
      </c>
      <c r="R179" s="68"/>
      <c r="S179" s="68"/>
      <c r="T179" s="68"/>
      <c r="U179" s="129">
        <v>10</v>
      </c>
      <c r="V179" s="33">
        <f t="shared" si="77"/>
        <v>70</v>
      </c>
      <c r="W179" s="130" t="s">
        <v>2283</v>
      </c>
    </row>
    <row r="180" s="4" customFormat="1" ht="25" customHeight="1" spans="1:23">
      <c r="A180" s="117">
        <v>101001</v>
      </c>
      <c r="B180" s="29" t="s">
        <v>2595</v>
      </c>
      <c r="C180" s="118">
        <v>2130599</v>
      </c>
      <c r="D180" s="29" t="s">
        <v>2618</v>
      </c>
      <c r="E180" s="30" t="s">
        <v>2625</v>
      </c>
      <c r="F180" s="32" t="s">
        <v>957</v>
      </c>
      <c r="G180" s="33">
        <f t="shared" si="74"/>
        <v>55.17</v>
      </c>
      <c r="H180" s="33"/>
      <c r="I180" s="33">
        <v>55.17</v>
      </c>
      <c r="J180" s="33"/>
      <c r="K180" s="33"/>
      <c r="L180" s="33">
        <f>31.1+108</f>
        <v>139.1</v>
      </c>
      <c r="M180" s="54">
        <f t="shared" si="75"/>
        <v>0</v>
      </c>
      <c r="N180" s="54"/>
      <c r="O180" s="54"/>
      <c r="P180" s="54"/>
      <c r="Q180" s="68">
        <f t="shared" si="76"/>
        <v>0</v>
      </c>
      <c r="R180" s="68"/>
      <c r="S180" s="68"/>
      <c r="T180" s="68"/>
      <c r="U180" s="129"/>
      <c r="V180" s="33">
        <f t="shared" si="77"/>
        <v>194.27</v>
      </c>
      <c r="W180" s="130" t="s">
        <v>2283</v>
      </c>
    </row>
    <row r="181" s="4" customFormat="1" ht="26.25" customHeight="1" spans="1:23">
      <c r="A181" s="117">
        <v>101001</v>
      </c>
      <c r="B181" s="29" t="s">
        <v>2595</v>
      </c>
      <c r="C181" s="133">
        <v>2130599</v>
      </c>
      <c r="D181" s="29" t="s">
        <v>2618</v>
      </c>
      <c r="E181" s="30" t="s">
        <v>2626</v>
      </c>
      <c r="F181" s="32" t="s">
        <v>2627</v>
      </c>
      <c r="G181" s="33">
        <f t="shared" si="74"/>
        <v>120</v>
      </c>
      <c r="H181" s="33">
        <v>70</v>
      </c>
      <c r="I181" s="33">
        <v>50</v>
      </c>
      <c r="J181" s="33"/>
      <c r="K181" s="33"/>
      <c r="L181" s="33"/>
      <c r="M181" s="54">
        <f t="shared" si="75"/>
        <v>0</v>
      </c>
      <c r="N181" s="54"/>
      <c r="O181" s="54"/>
      <c r="P181" s="54"/>
      <c r="Q181" s="68">
        <f t="shared" si="76"/>
        <v>0</v>
      </c>
      <c r="R181" s="68"/>
      <c r="S181" s="68"/>
      <c r="T181" s="68"/>
      <c r="U181" s="129">
        <v>10</v>
      </c>
      <c r="V181" s="33">
        <f t="shared" si="77"/>
        <v>110</v>
      </c>
      <c r="W181" s="130" t="s">
        <v>2283</v>
      </c>
    </row>
    <row r="182" s="4" customFormat="1" ht="26.25" customHeight="1" spans="1:23">
      <c r="A182" s="117">
        <v>101001</v>
      </c>
      <c r="B182" s="29" t="s">
        <v>2595</v>
      </c>
      <c r="C182" s="133">
        <v>2130599</v>
      </c>
      <c r="D182" s="119" t="s">
        <v>2618</v>
      </c>
      <c r="E182" s="30" t="s">
        <v>2628</v>
      </c>
      <c r="F182" s="32" t="s">
        <v>2629</v>
      </c>
      <c r="G182" s="33">
        <f t="shared" si="74"/>
        <v>200</v>
      </c>
      <c r="H182" s="33">
        <v>200</v>
      </c>
      <c r="I182" s="33"/>
      <c r="J182" s="33"/>
      <c r="K182" s="33"/>
      <c r="L182" s="33"/>
      <c r="M182" s="54">
        <f t="shared" si="75"/>
        <v>0</v>
      </c>
      <c r="N182" s="54"/>
      <c r="O182" s="54"/>
      <c r="P182" s="54"/>
      <c r="Q182" s="68">
        <f t="shared" si="76"/>
        <v>0</v>
      </c>
      <c r="R182" s="68"/>
      <c r="S182" s="68"/>
      <c r="T182" s="68"/>
      <c r="U182" s="129">
        <v>80</v>
      </c>
      <c r="V182" s="33">
        <f t="shared" si="77"/>
        <v>120</v>
      </c>
      <c r="W182" s="130" t="s">
        <v>2283</v>
      </c>
    </row>
    <row r="183" s="4" customFormat="1" ht="26.25" customHeight="1" spans="1:23">
      <c r="A183" s="117">
        <v>101001</v>
      </c>
      <c r="B183" s="29" t="s">
        <v>2595</v>
      </c>
      <c r="C183" s="133">
        <v>2130599</v>
      </c>
      <c r="D183" s="29" t="s">
        <v>2618</v>
      </c>
      <c r="E183" s="30" t="s">
        <v>2630</v>
      </c>
      <c r="F183" s="32" t="s">
        <v>969</v>
      </c>
      <c r="G183" s="33">
        <f t="shared" si="74"/>
        <v>310</v>
      </c>
      <c r="H183" s="33"/>
      <c r="I183" s="33">
        <v>310</v>
      </c>
      <c r="J183" s="33"/>
      <c r="K183" s="33"/>
      <c r="L183" s="33"/>
      <c r="M183" s="54">
        <f t="shared" si="75"/>
        <v>0</v>
      </c>
      <c r="N183" s="54"/>
      <c r="O183" s="54"/>
      <c r="P183" s="54"/>
      <c r="Q183" s="68">
        <f t="shared" si="76"/>
        <v>0</v>
      </c>
      <c r="R183" s="68"/>
      <c r="S183" s="68"/>
      <c r="T183" s="68"/>
      <c r="U183" s="129">
        <v>5.872</v>
      </c>
      <c r="V183" s="33">
        <f t="shared" si="77"/>
        <v>304.128</v>
      </c>
      <c r="W183" s="130" t="s">
        <v>2283</v>
      </c>
    </row>
    <row r="184" s="4" customFormat="1" ht="26.25" customHeight="1" spans="1:23">
      <c r="A184" s="117">
        <v>101001</v>
      </c>
      <c r="B184" s="29" t="s">
        <v>2595</v>
      </c>
      <c r="C184" s="35" t="s">
        <v>2631</v>
      </c>
      <c r="D184" s="38" t="s">
        <v>2632</v>
      </c>
      <c r="E184" s="121" t="s">
        <v>2633</v>
      </c>
      <c r="F184" s="38" t="s">
        <v>2634</v>
      </c>
      <c r="G184" s="33">
        <f t="shared" si="74"/>
        <v>0</v>
      </c>
      <c r="H184" s="33"/>
      <c r="I184" s="33"/>
      <c r="J184" s="33"/>
      <c r="K184" s="33"/>
      <c r="L184" s="33"/>
      <c r="M184" s="54">
        <f t="shared" si="75"/>
        <v>0</v>
      </c>
      <c r="N184" s="54"/>
      <c r="O184" s="54"/>
      <c r="P184" s="54"/>
      <c r="Q184" s="68">
        <f t="shared" si="76"/>
        <v>7.7572</v>
      </c>
      <c r="R184" s="68"/>
      <c r="S184" s="68">
        <v>7.7572</v>
      </c>
      <c r="T184" s="68"/>
      <c r="U184" s="129"/>
      <c r="V184" s="68">
        <f t="shared" si="77"/>
        <v>7.7572</v>
      </c>
      <c r="W184" s="91" t="s">
        <v>2635</v>
      </c>
    </row>
    <row r="185" s="4" customFormat="1" ht="26.25" customHeight="1" spans="1:23">
      <c r="A185" s="117">
        <v>101001</v>
      </c>
      <c r="B185" s="29" t="s">
        <v>2595</v>
      </c>
      <c r="C185" s="35" t="s">
        <v>2631</v>
      </c>
      <c r="D185" s="76" t="s">
        <v>2632</v>
      </c>
      <c r="E185" s="121" t="s">
        <v>2636</v>
      </c>
      <c r="F185" s="35" t="s">
        <v>2637</v>
      </c>
      <c r="G185" s="33">
        <f t="shared" si="74"/>
        <v>0</v>
      </c>
      <c r="H185" s="33"/>
      <c r="I185" s="33"/>
      <c r="J185" s="33"/>
      <c r="K185" s="33"/>
      <c r="L185" s="33"/>
      <c r="M185" s="54">
        <f t="shared" si="75"/>
        <v>12.7</v>
      </c>
      <c r="N185" s="54"/>
      <c r="O185" s="54">
        <v>12.7</v>
      </c>
      <c r="P185" s="54"/>
      <c r="Q185" s="68">
        <f t="shared" si="76"/>
        <v>0</v>
      </c>
      <c r="R185" s="68"/>
      <c r="S185" s="68"/>
      <c r="T185" s="68"/>
      <c r="U185" s="129"/>
      <c r="V185" s="54">
        <f t="shared" si="77"/>
        <v>12.7</v>
      </c>
      <c r="W185" s="92" t="s">
        <v>550</v>
      </c>
    </row>
    <row r="186" s="4" customFormat="1" ht="26.25" customHeight="1" spans="1:23">
      <c r="A186" s="117">
        <v>101001</v>
      </c>
      <c r="B186" s="29" t="s">
        <v>2595</v>
      </c>
      <c r="C186" s="35" t="s">
        <v>2638</v>
      </c>
      <c r="D186" s="38" t="s">
        <v>2639</v>
      </c>
      <c r="E186" s="121" t="s">
        <v>2640</v>
      </c>
      <c r="F186" s="38" t="s">
        <v>2641</v>
      </c>
      <c r="G186" s="33">
        <f t="shared" si="74"/>
        <v>0</v>
      </c>
      <c r="H186" s="33"/>
      <c r="I186" s="33"/>
      <c r="J186" s="33"/>
      <c r="K186" s="33"/>
      <c r="L186" s="33"/>
      <c r="M186" s="54">
        <f t="shared" si="75"/>
        <v>0</v>
      </c>
      <c r="N186" s="54"/>
      <c r="O186" s="54"/>
      <c r="P186" s="54"/>
      <c r="Q186" s="68">
        <f t="shared" si="76"/>
        <v>20</v>
      </c>
      <c r="R186" s="68">
        <v>20</v>
      </c>
      <c r="S186" s="68"/>
      <c r="T186" s="68"/>
      <c r="U186" s="129"/>
      <c r="V186" s="68">
        <f t="shared" si="77"/>
        <v>20</v>
      </c>
      <c r="W186" s="91" t="s">
        <v>2498</v>
      </c>
    </row>
    <row r="187" s="4" customFormat="1" ht="26.25" customHeight="1" spans="1:23">
      <c r="A187" s="117">
        <v>101001</v>
      </c>
      <c r="B187" s="29" t="s">
        <v>2595</v>
      </c>
      <c r="C187" s="35" t="s">
        <v>2642</v>
      </c>
      <c r="D187" s="38" t="s">
        <v>2643</v>
      </c>
      <c r="E187" s="121" t="s">
        <v>2644</v>
      </c>
      <c r="F187" s="38" t="s">
        <v>2645</v>
      </c>
      <c r="G187" s="33">
        <f t="shared" si="74"/>
        <v>0</v>
      </c>
      <c r="H187" s="33"/>
      <c r="I187" s="33"/>
      <c r="J187" s="33"/>
      <c r="K187" s="33"/>
      <c r="L187" s="33"/>
      <c r="M187" s="54">
        <f t="shared" si="75"/>
        <v>0</v>
      </c>
      <c r="N187" s="54"/>
      <c r="O187" s="54"/>
      <c r="P187" s="54"/>
      <c r="Q187" s="68">
        <f t="shared" si="76"/>
        <v>1</v>
      </c>
      <c r="R187" s="68">
        <v>1</v>
      </c>
      <c r="S187" s="68"/>
      <c r="T187" s="68"/>
      <c r="U187" s="129"/>
      <c r="V187" s="68">
        <f t="shared" si="77"/>
        <v>1</v>
      </c>
      <c r="W187" s="91" t="s">
        <v>2498</v>
      </c>
    </row>
    <row r="188" s="4" customFormat="1" ht="26.25" customHeight="1" spans="1:23">
      <c r="A188" s="117">
        <v>101001</v>
      </c>
      <c r="B188" s="29" t="s">
        <v>2595</v>
      </c>
      <c r="C188" s="35" t="s">
        <v>2642</v>
      </c>
      <c r="D188" s="38" t="s">
        <v>2643</v>
      </c>
      <c r="E188" s="121" t="s">
        <v>2644</v>
      </c>
      <c r="F188" s="38" t="s">
        <v>2645</v>
      </c>
      <c r="G188" s="33">
        <f t="shared" si="74"/>
        <v>0</v>
      </c>
      <c r="H188" s="33"/>
      <c r="I188" s="33"/>
      <c r="J188" s="33"/>
      <c r="K188" s="33"/>
      <c r="L188" s="33"/>
      <c r="M188" s="54">
        <f t="shared" si="75"/>
        <v>0</v>
      </c>
      <c r="N188" s="54"/>
      <c r="O188" s="54"/>
      <c r="P188" s="54"/>
      <c r="Q188" s="68">
        <f t="shared" si="76"/>
        <v>2.5355</v>
      </c>
      <c r="R188" s="68">
        <v>2.5355</v>
      </c>
      <c r="S188" s="68"/>
      <c r="T188" s="68"/>
      <c r="U188" s="129"/>
      <c r="V188" s="68">
        <f t="shared" si="77"/>
        <v>2.5355</v>
      </c>
      <c r="W188" s="91" t="s">
        <v>2283</v>
      </c>
    </row>
    <row r="189" s="4" customFormat="1" ht="26.25" customHeight="1" spans="1:23">
      <c r="A189" s="117">
        <v>101001</v>
      </c>
      <c r="B189" s="29" t="s">
        <v>2595</v>
      </c>
      <c r="C189" s="35" t="s">
        <v>2646</v>
      </c>
      <c r="D189" s="38" t="s">
        <v>2647</v>
      </c>
      <c r="E189" s="121" t="s">
        <v>2648</v>
      </c>
      <c r="F189" s="38" t="s">
        <v>2649</v>
      </c>
      <c r="G189" s="33">
        <f t="shared" si="74"/>
        <v>0</v>
      </c>
      <c r="H189" s="33"/>
      <c r="I189" s="33"/>
      <c r="J189" s="33"/>
      <c r="K189" s="33"/>
      <c r="L189" s="33"/>
      <c r="M189" s="54">
        <f t="shared" si="75"/>
        <v>0</v>
      </c>
      <c r="N189" s="54"/>
      <c r="O189" s="54"/>
      <c r="P189" s="54"/>
      <c r="Q189" s="68">
        <f t="shared" si="76"/>
        <v>3</v>
      </c>
      <c r="R189" s="68">
        <v>3</v>
      </c>
      <c r="S189" s="68"/>
      <c r="T189" s="68"/>
      <c r="U189" s="129"/>
      <c r="V189" s="68">
        <f t="shared" si="77"/>
        <v>3</v>
      </c>
      <c r="W189" s="91" t="s">
        <v>2498</v>
      </c>
    </row>
    <row r="190" s="4" customFormat="1" ht="26.25" customHeight="1" spans="1:23">
      <c r="A190" s="117">
        <v>101001</v>
      </c>
      <c r="B190" s="29" t="s">
        <v>2595</v>
      </c>
      <c r="C190" s="133">
        <v>2130599</v>
      </c>
      <c r="D190" s="29" t="s">
        <v>2647</v>
      </c>
      <c r="E190" s="30" t="s">
        <v>2636</v>
      </c>
      <c r="F190" s="32" t="s">
        <v>2637</v>
      </c>
      <c r="G190" s="33">
        <f t="shared" si="74"/>
        <v>300</v>
      </c>
      <c r="H190" s="33">
        <v>200</v>
      </c>
      <c r="I190" s="33">
        <v>100</v>
      </c>
      <c r="J190" s="33"/>
      <c r="K190" s="33"/>
      <c r="L190" s="33"/>
      <c r="M190" s="54">
        <f t="shared" si="75"/>
        <v>0</v>
      </c>
      <c r="N190" s="54"/>
      <c r="O190" s="54"/>
      <c r="P190" s="54"/>
      <c r="Q190" s="68">
        <f t="shared" si="76"/>
        <v>0</v>
      </c>
      <c r="R190" s="68"/>
      <c r="S190" s="68"/>
      <c r="T190" s="68"/>
      <c r="U190" s="129"/>
      <c r="V190" s="33">
        <f t="shared" si="77"/>
        <v>300</v>
      </c>
      <c r="W190" s="130" t="s">
        <v>2283</v>
      </c>
    </row>
    <row r="191" s="4" customFormat="1" ht="26.25" customHeight="1" spans="1:23">
      <c r="A191" s="117">
        <v>101001</v>
      </c>
      <c r="B191" s="29" t="s">
        <v>2595</v>
      </c>
      <c r="C191" s="35" t="s">
        <v>2650</v>
      </c>
      <c r="D191" s="38" t="s">
        <v>2651</v>
      </c>
      <c r="E191" s="121" t="s">
        <v>2652</v>
      </c>
      <c r="F191" s="38" t="s">
        <v>2653</v>
      </c>
      <c r="G191" s="33">
        <f t="shared" si="74"/>
        <v>0</v>
      </c>
      <c r="H191" s="33"/>
      <c r="I191" s="33"/>
      <c r="J191" s="33"/>
      <c r="K191" s="33"/>
      <c r="L191" s="33"/>
      <c r="M191" s="54">
        <f t="shared" si="75"/>
        <v>0</v>
      </c>
      <c r="N191" s="54"/>
      <c r="O191" s="54"/>
      <c r="P191" s="54"/>
      <c r="Q191" s="68">
        <f t="shared" si="76"/>
        <v>20.85</v>
      </c>
      <c r="R191" s="68">
        <v>20.85</v>
      </c>
      <c r="S191" s="68"/>
      <c r="T191" s="68"/>
      <c r="U191" s="129"/>
      <c r="V191" s="68">
        <f t="shared" si="77"/>
        <v>20.85</v>
      </c>
      <c r="W191" s="91" t="s">
        <v>2498</v>
      </c>
    </row>
    <row r="192" s="4" customFormat="1" ht="26.25" customHeight="1" spans="1:23">
      <c r="A192" s="117">
        <v>101001</v>
      </c>
      <c r="B192" s="29" t="s">
        <v>2595</v>
      </c>
      <c r="C192" s="118" t="s">
        <v>2654</v>
      </c>
      <c r="D192" s="29" t="s">
        <v>2655</v>
      </c>
      <c r="E192" s="30" t="s">
        <v>2656</v>
      </c>
      <c r="F192" s="32" t="s">
        <v>962</v>
      </c>
      <c r="G192" s="33">
        <f t="shared" si="74"/>
        <v>24</v>
      </c>
      <c r="H192" s="33">
        <v>24</v>
      </c>
      <c r="I192" s="33"/>
      <c r="J192" s="33"/>
      <c r="K192" s="33"/>
      <c r="L192" s="33"/>
      <c r="M192" s="54">
        <f t="shared" si="75"/>
        <v>0</v>
      </c>
      <c r="N192" s="54"/>
      <c r="O192" s="54"/>
      <c r="P192" s="54"/>
      <c r="Q192" s="68">
        <f t="shared" si="76"/>
        <v>0</v>
      </c>
      <c r="R192" s="68"/>
      <c r="S192" s="68"/>
      <c r="T192" s="68"/>
      <c r="U192" s="129">
        <f>7.2+6.8</f>
        <v>14</v>
      </c>
      <c r="V192" s="33">
        <f t="shared" si="77"/>
        <v>10</v>
      </c>
      <c r="W192" s="130" t="s">
        <v>2283</v>
      </c>
    </row>
    <row r="193" s="4" customFormat="1" ht="26.25" customHeight="1" spans="1:23">
      <c r="A193" s="117">
        <v>101001</v>
      </c>
      <c r="B193" s="29" t="s">
        <v>2595</v>
      </c>
      <c r="C193" s="35" t="s">
        <v>2654</v>
      </c>
      <c r="D193" s="38" t="s">
        <v>2655</v>
      </c>
      <c r="E193" s="121" t="s">
        <v>2656</v>
      </c>
      <c r="F193" s="38" t="s">
        <v>962</v>
      </c>
      <c r="G193" s="33">
        <f t="shared" si="74"/>
        <v>0</v>
      </c>
      <c r="H193" s="33"/>
      <c r="I193" s="33"/>
      <c r="J193" s="33"/>
      <c r="K193" s="33"/>
      <c r="L193" s="33"/>
      <c r="M193" s="54">
        <f t="shared" si="75"/>
        <v>0</v>
      </c>
      <c r="N193" s="54"/>
      <c r="O193" s="54"/>
      <c r="P193" s="54"/>
      <c r="Q193" s="68">
        <f t="shared" si="76"/>
        <v>3</v>
      </c>
      <c r="R193" s="68">
        <v>3</v>
      </c>
      <c r="S193" s="68"/>
      <c r="T193" s="68"/>
      <c r="U193" s="129"/>
      <c r="V193" s="68">
        <f t="shared" si="77"/>
        <v>3</v>
      </c>
      <c r="W193" s="91" t="s">
        <v>2498</v>
      </c>
    </row>
    <row r="194" s="4" customFormat="1" ht="26.25" customHeight="1" spans="1:23">
      <c r="A194" s="117">
        <v>101001</v>
      </c>
      <c r="B194" s="29" t="s">
        <v>2595</v>
      </c>
      <c r="C194" s="35" t="s">
        <v>2657</v>
      </c>
      <c r="D194" s="38" t="s">
        <v>2658</v>
      </c>
      <c r="E194" s="121" t="s">
        <v>2659</v>
      </c>
      <c r="F194" s="38" t="s">
        <v>2660</v>
      </c>
      <c r="G194" s="33">
        <f t="shared" si="74"/>
        <v>0</v>
      </c>
      <c r="H194" s="33"/>
      <c r="I194" s="33"/>
      <c r="J194" s="33"/>
      <c r="K194" s="33"/>
      <c r="L194" s="33"/>
      <c r="M194" s="54">
        <f t="shared" si="75"/>
        <v>0</v>
      </c>
      <c r="N194" s="54"/>
      <c r="O194" s="54"/>
      <c r="P194" s="54"/>
      <c r="Q194" s="68">
        <f t="shared" si="76"/>
        <v>10</v>
      </c>
      <c r="R194" s="68">
        <v>10</v>
      </c>
      <c r="S194" s="68"/>
      <c r="T194" s="68"/>
      <c r="U194" s="129"/>
      <c r="V194" s="68">
        <f t="shared" si="77"/>
        <v>10</v>
      </c>
      <c r="W194" s="91" t="s">
        <v>2498</v>
      </c>
    </row>
    <row r="195" s="4" customFormat="1" ht="26.25" customHeight="1" spans="1:23">
      <c r="A195" s="117">
        <v>101001</v>
      </c>
      <c r="B195" s="29" t="s">
        <v>2595</v>
      </c>
      <c r="C195" s="35" t="s">
        <v>2657</v>
      </c>
      <c r="D195" s="76" t="s">
        <v>2658</v>
      </c>
      <c r="E195" s="121" t="s">
        <v>2659</v>
      </c>
      <c r="F195" s="35" t="s">
        <v>2660</v>
      </c>
      <c r="G195" s="33">
        <f t="shared" si="74"/>
        <v>0</v>
      </c>
      <c r="H195" s="33"/>
      <c r="I195" s="33"/>
      <c r="J195" s="33"/>
      <c r="K195" s="33"/>
      <c r="L195" s="33"/>
      <c r="M195" s="54">
        <f t="shared" si="75"/>
        <v>56</v>
      </c>
      <c r="N195" s="54"/>
      <c r="O195" s="54">
        <v>56</v>
      </c>
      <c r="P195" s="54"/>
      <c r="Q195" s="68">
        <f t="shared" si="76"/>
        <v>0</v>
      </c>
      <c r="R195" s="68"/>
      <c r="S195" s="68"/>
      <c r="T195" s="68"/>
      <c r="U195" s="129"/>
      <c r="V195" s="54">
        <f t="shared" si="77"/>
        <v>56</v>
      </c>
      <c r="W195" s="92" t="s">
        <v>543</v>
      </c>
    </row>
    <row r="196" s="4" customFormat="1" ht="26.25" customHeight="1" spans="1:23">
      <c r="A196" s="117">
        <v>101001</v>
      </c>
      <c r="B196" s="29" t="s">
        <v>2595</v>
      </c>
      <c r="C196" s="35" t="s">
        <v>2661</v>
      </c>
      <c r="D196" s="38" t="s">
        <v>2662</v>
      </c>
      <c r="E196" s="121" t="s">
        <v>2659</v>
      </c>
      <c r="F196" s="38" t="s">
        <v>2660</v>
      </c>
      <c r="G196" s="33">
        <f t="shared" si="74"/>
        <v>0</v>
      </c>
      <c r="H196" s="33"/>
      <c r="I196" s="33"/>
      <c r="J196" s="33"/>
      <c r="K196" s="33"/>
      <c r="L196" s="33"/>
      <c r="M196" s="54">
        <f t="shared" si="75"/>
        <v>0</v>
      </c>
      <c r="N196" s="54"/>
      <c r="O196" s="54"/>
      <c r="P196" s="54"/>
      <c r="Q196" s="68">
        <f t="shared" si="76"/>
        <v>59</v>
      </c>
      <c r="R196" s="68"/>
      <c r="S196" s="68">
        <v>59</v>
      </c>
      <c r="T196" s="68"/>
      <c r="U196" s="129"/>
      <c r="V196" s="68">
        <f t="shared" si="77"/>
        <v>59</v>
      </c>
      <c r="W196" s="91" t="s">
        <v>2663</v>
      </c>
    </row>
    <row r="197" s="4" customFormat="1" ht="26.25" customHeight="1" spans="1:23">
      <c r="A197" s="117">
        <v>101001</v>
      </c>
      <c r="B197" s="29" t="s">
        <v>2595</v>
      </c>
      <c r="C197" s="133">
        <v>2130599</v>
      </c>
      <c r="D197" s="29" t="s">
        <v>2662</v>
      </c>
      <c r="E197" s="30" t="s">
        <v>2664</v>
      </c>
      <c r="F197" s="32" t="s">
        <v>963</v>
      </c>
      <c r="G197" s="33">
        <f t="shared" si="74"/>
        <v>350</v>
      </c>
      <c r="H197" s="33">
        <v>350</v>
      </c>
      <c r="I197" s="33"/>
      <c r="J197" s="33"/>
      <c r="K197" s="33"/>
      <c r="L197" s="33"/>
      <c r="M197" s="54">
        <f t="shared" si="75"/>
        <v>0</v>
      </c>
      <c r="N197" s="54"/>
      <c r="O197" s="54"/>
      <c r="P197" s="54"/>
      <c r="Q197" s="68">
        <f t="shared" si="76"/>
        <v>0</v>
      </c>
      <c r="R197" s="68"/>
      <c r="S197" s="68"/>
      <c r="T197" s="68"/>
      <c r="U197" s="129">
        <v>105</v>
      </c>
      <c r="V197" s="33">
        <f t="shared" si="77"/>
        <v>245</v>
      </c>
      <c r="W197" s="130" t="s">
        <v>2283</v>
      </c>
    </row>
    <row r="198" s="4" customFormat="1" ht="26.25" customHeight="1" spans="1:23">
      <c r="A198" s="117">
        <v>101001</v>
      </c>
      <c r="B198" s="29" t="s">
        <v>2595</v>
      </c>
      <c r="C198" s="49" t="s">
        <v>2665</v>
      </c>
      <c r="D198" s="50" t="s">
        <v>2666</v>
      </c>
      <c r="E198" s="126" t="s">
        <v>2667</v>
      </c>
      <c r="F198" s="49" t="s">
        <v>2668</v>
      </c>
      <c r="G198" s="33">
        <f t="shared" si="74"/>
        <v>0</v>
      </c>
      <c r="H198" s="33"/>
      <c r="I198" s="33"/>
      <c r="J198" s="33"/>
      <c r="K198" s="33"/>
      <c r="L198" s="33"/>
      <c r="M198" s="54">
        <f t="shared" si="75"/>
        <v>918</v>
      </c>
      <c r="N198" s="54"/>
      <c r="O198" s="54">
        <v>918</v>
      </c>
      <c r="P198" s="54"/>
      <c r="Q198" s="68">
        <f t="shared" si="76"/>
        <v>0</v>
      </c>
      <c r="R198" s="68"/>
      <c r="S198" s="68"/>
      <c r="T198" s="68"/>
      <c r="U198" s="129"/>
      <c r="V198" s="54">
        <f t="shared" si="77"/>
        <v>918</v>
      </c>
      <c r="W198" s="74" t="s">
        <v>640</v>
      </c>
    </row>
    <row r="199" s="4" customFormat="1" ht="26.25" customHeight="1" spans="1:23">
      <c r="A199" s="117">
        <v>101001</v>
      </c>
      <c r="B199" s="29" t="s">
        <v>2595</v>
      </c>
      <c r="C199" s="118" t="s">
        <v>2669</v>
      </c>
      <c r="D199" s="29" t="s">
        <v>2670</v>
      </c>
      <c r="E199" s="30" t="s">
        <v>2667</v>
      </c>
      <c r="F199" s="32" t="s">
        <v>2671</v>
      </c>
      <c r="G199" s="33">
        <f t="shared" si="74"/>
        <v>350</v>
      </c>
      <c r="H199" s="33">
        <v>350</v>
      </c>
      <c r="I199" s="33"/>
      <c r="J199" s="33"/>
      <c r="K199" s="33"/>
      <c r="L199" s="33"/>
      <c r="M199" s="54">
        <f t="shared" si="75"/>
        <v>0</v>
      </c>
      <c r="N199" s="54"/>
      <c r="O199" s="54"/>
      <c r="P199" s="54"/>
      <c r="Q199" s="68">
        <f t="shared" si="76"/>
        <v>0</v>
      </c>
      <c r="R199" s="68"/>
      <c r="S199" s="68"/>
      <c r="T199" s="68"/>
      <c r="U199" s="129"/>
      <c r="V199" s="33">
        <f t="shared" si="77"/>
        <v>350</v>
      </c>
      <c r="W199" s="130" t="s">
        <v>2283</v>
      </c>
    </row>
    <row r="200" s="4" customFormat="1" ht="26.25" customHeight="1" spans="1:23">
      <c r="A200" s="117">
        <v>101001</v>
      </c>
      <c r="B200" s="29" t="s">
        <v>2595</v>
      </c>
      <c r="C200" s="35" t="s">
        <v>2669</v>
      </c>
      <c r="D200" s="76" t="s">
        <v>2670</v>
      </c>
      <c r="E200" s="121" t="s">
        <v>2667</v>
      </c>
      <c r="F200" s="35" t="s">
        <v>2668</v>
      </c>
      <c r="G200" s="33">
        <f t="shared" si="74"/>
        <v>0</v>
      </c>
      <c r="H200" s="33"/>
      <c r="I200" s="33"/>
      <c r="J200" s="33"/>
      <c r="K200" s="33"/>
      <c r="L200" s="33"/>
      <c r="M200" s="54">
        <f t="shared" si="75"/>
        <v>208</v>
      </c>
      <c r="N200" s="54"/>
      <c r="O200" s="54">
        <v>208</v>
      </c>
      <c r="P200" s="54"/>
      <c r="Q200" s="68">
        <f t="shared" si="76"/>
        <v>0</v>
      </c>
      <c r="R200" s="68"/>
      <c r="S200" s="68"/>
      <c r="T200" s="68"/>
      <c r="U200" s="129"/>
      <c r="V200" s="54">
        <f t="shared" si="77"/>
        <v>208</v>
      </c>
      <c r="W200" s="92" t="s">
        <v>580</v>
      </c>
    </row>
    <row r="201" s="4" customFormat="1" ht="26.25" customHeight="1" spans="1:23">
      <c r="A201" s="117">
        <v>101001</v>
      </c>
      <c r="B201" s="29" t="s">
        <v>2595</v>
      </c>
      <c r="C201" s="35" t="s">
        <v>2669</v>
      </c>
      <c r="D201" s="76" t="s">
        <v>2670</v>
      </c>
      <c r="E201" s="121" t="s">
        <v>2672</v>
      </c>
      <c r="F201" s="35" t="s">
        <v>2673</v>
      </c>
      <c r="G201" s="33"/>
      <c r="H201" s="33"/>
      <c r="I201" s="33"/>
      <c r="J201" s="33"/>
      <c r="K201" s="33"/>
      <c r="L201" s="33"/>
      <c r="M201" s="54">
        <f t="shared" si="75"/>
        <v>280</v>
      </c>
      <c r="N201" s="54"/>
      <c r="O201" s="54">
        <v>280</v>
      </c>
      <c r="P201" s="54"/>
      <c r="Q201" s="68">
        <f t="shared" si="76"/>
        <v>0</v>
      </c>
      <c r="R201" s="68"/>
      <c r="S201" s="68"/>
      <c r="T201" s="68"/>
      <c r="U201" s="129"/>
      <c r="V201" s="54">
        <f t="shared" si="77"/>
        <v>280</v>
      </c>
      <c r="W201" s="92" t="s">
        <v>2674</v>
      </c>
    </row>
    <row r="202" s="4" customFormat="1" ht="26.25" customHeight="1" spans="1:23">
      <c r="A202" s="117">
        <v>101001</v>
      </c>
      <c r="B202" s="29" t="s">
        <v>2595</v>
      </c>
      <c r="C202" s="35" t="s">
        <v>2669</v>
      </c>
      <c r="D202" s="38" t="s">
        <v>2670</v>
      </c>
      <c r="E202" s="121" t="s">
        <v>2675</v>
      </c>
      <c r="F202" s="38" t="s">
        <v>2676</v>
      </c>
      <c r="G202" s="33">
        <f>SUM(H202:J202)</f>
        <v>0</v>
      </c>
      <c r="H202" s="33"/>
      <c r="I202" s="33"/>
      <c r="J202" s="33"/>
      <c r="K202" s="33"/>
      <c r="L202" s="33"/>
      <c r="M202" s="54">
        <f t="shared" si="75"/>
        <v>0</v>
      </c>
      <c r="N202" s="54"/>
      <c r="O202" s="54"/>
      <c r="P202" s="54"/>
      <c r="Q202" s="68">
        <f t="shared" si="76"/>
        <v>33.3696</v>
      </c>
      <c r="R202" s="68">
        <v>33.3696</v>
      </c>
      <c r="S202" s="68"/>
      <c r="T202" s="68"/>
      <c r="U202" s="129"/>
      <c r="V202" s="68">
        <f t="shared" si="77"/>
        <v>33.3696</v>
      </c>
      <c r="W202" s="91" t="s">
        <v>2498</v>
      </c>
    </row>
    <row r="203" s="4" customFormat="1" ht="26.25" customHeight="1" spans="1:23">
      <c r="A203" s="117">
        <v>101001</v>
      </c>
      <c r="B203" s="29" t="s">
        <v>2595</v>
      </c>
      <c r="C203" s="35" t="s">
        <v>2677</v>
      </c>
      <c r="D203" s="38" t="s">
        <v>2678</v>
      </c>
      <c r="E203" s="30" t="s">
        <v>2607</v>
      </c>
      <c r="F203" s="86" t="s">
        <v>964</v>
      </c>
      <c r="G203" s="33">
        <f>SUM(H203:J203)</f>
        <v>0</v>
      </c>
      <c r="H203" s="33"/>
      <c r="I203" s="33"/>
      <c r="J203" s="33"/>
      <c r="K203" s="33"/>
      <c r="L203" s="33"/>
      <c r="M203" s="54">
        <f t="shared" si="75"/>
        <v>0</v>
      </c>
      <c r="N203" s="54"/>
      <c r="O203" s="54"/>
      <c r="P203" s="54"/>
      <c r="Q203" s="68">
        <f t="shared" si="76"/>
        <v>5</v>
      </c>
      <c r="R203" s="68"/>
      <c r="S203" s="68">
        <v>5</v>
      </c>
      <c r="T203" s="68"/>
      <c r="U203" s="129"/>
      <c r="V203" s="68">
        <f t="shared" si="77"/>
        <v>5</v>
      </c>
      <c r="W203" s="91" t="s">
        <v>2679</v>
      </c>
    </row>
    <row r="204" s="4" customFormat="1" ht="26.25" customHeight="1" spans="1:23">
      <c r="A204" s="117">
        <v>101001</v>
      </c>
      <c r="B204" s="29" t="s">
        <v>2595</v>
      </c>
      <c r="C204" s="35" t="s">
        <v>2680</v>
      </c>
      <c r="D204" s="38" t="s">
        <v>2681</v>
      </c>
      <c r="E204" s="121" t="s">
        <v>2682</v>
      </c>
      <c r="F204" s="38" t="s">
        <v>2683</v>
      </c>
      <c r="G204" s="33">
        <f>SUM(H204:J204)</f>
        <v>0</v>
      </c>
      <c r="H204" s="33"/>
      <c r="I204" s="33"/>
      <c r="J204" s="33"/>
      <c r="K204" s="33"/>
      <c r="L204" s="33"/>
      <c r="M204" s="54">
        <f t="shared" si="75"/>
        <v>0</v>
      </c>
      <c r="N204" s="54"/>
      <c r="O204" s="54"/>
      <c r="P204" s="54"/>
      <c r="Q204" s="68">
        <f t="shared" si="76"/>
        <v>11</v>
      </c>
      <c r="R204" s="68">
        <v>11</v>
      </c>
      <c r="S204" s="68"/>
      <c r="T204" s="68"/>
      <c r="U204" s="129"/>
      <c r="V204" s="68">
        <f t="shared" si="77"/>
        <v>11</v>
      </c>
      <c r="W204" s="91" t="s">
        <v>2498</v>
      </c>
    </row>
    <row r="205" s="4" customFormat="1" ht="26.25" customHeight="1" spans="1:23">
      <c r="A205" s="117">
        <v>101001</v>
      </c>
      <c r="B205" s="29" t="s">
        <v>2595</v>
      </c>
      <c r="C205" s="35" t="s">
        <v>2669</v>
      </c>
      <c r="D205" s="76" t="s">
        <v>2670</v>
      </c>
      <c r="E205" s="121" t="s">
        <v>2684</v>
      </c>
      <c r="F205" s="35" t="s">
        <v>2685</v>
      </c>
      <c r="G205" s="33"/>
      <c r="H205" s="33"/>
      <c r="I205" s="33"/>
      <c r="J205" s="33"/>
      <c r="K205" s="33"/>
      <c r="L205" s="33"/>
      <c r="M205" s="54">
        <f t="shared" si="75"/>
        <v>3</v>
      </c>
      <c r="N205" s="54"/>
      <c r="O205" s="54">
        <v>3</v>
      </c>
      <c r="P205" s="54"/>
      <c r="Q205" s="68">
        <f t="shared" si="76"/>
        <v>0</v>
      </c>
      <c r="R205" s="68"/>
      <c r="S205" s="68"/>
      <c r="T205" s="68"/>
      <c r="U205" s="129"/>
      <c r="V205" s="54">
        <f t="shared" si="77"/>
        <v>3</v>
      </c>
      <c r="W205" s="92" t="s">
        <v>2686</v>
      </c>
    </row>
    <row r="206" s="4" customFormat="1" ht="26.25" customHeight="1" spans="1:23">
      <c r="A206" s="117">
        <v>101001</v>
      </c>
      <c r="B206" s="29" t="s">
        <v>2595</v>
      </c>
      <c r="C206" s="35" t="s">
        <v>2687</v>
      </c>
      <c r="D206" s="76" t="s">
        <v>2688</v>
      </c>
      <c r="E206" s="121" t="s">
        <v>2684</v>
      </c>
      <c r="F206" s="35" t="s">
        <v>2685</v>
      </c>
      <c r="G206" s="33"/>
      <c r="H206" s="33"/>
      <c r="I206" s="33"/>
      <c r="J206" s="33"/>
      <c r="K206" s="33"/>
      <c r="L206" s="33"/>
      <c r="M206" s="54">
        <f t="shared" si="75"/>
        <v>69</v>
      </c>
      <c r="N206" s="54"/>
      <c r="O206" s="54">
        <v>69</v>
      </c>
      <c r="P206" s="54"/>
      <c r="Q206" s="68">
        <f t="shared" si="76"/>
        <v>0</v>
      </c>
      <c r="R206" s="68"/>
      <c r="S206" s="68"/>
      <c r="T206" s="68"/>
      <c r="U206" s="129"/>
      <c r="V206" s="54">
        <f t="shared" si="77"/>
        <v>69</v>
      </c>
      <c r="W206" s="92" t="s">
        <v>2686</v>
      </c>
    </row>
    <row r="207" s="4" customFormat="1" ht="26.25" customHeight="1" spans="1:23">
      <c r="A207" s="117">
        <v>101001</v>
      </c>
      <c r="B207" s="29" t="s">
        <v>2595</v>
      </c>
      <c r="C207" s="35" t="s">
        <v>2665</v>
      </c>
      <c r="D207" s="76" t="s">
        <v>2666</v>
      </c>
      <c r="E207" s="121" t="s">
        <v>2667</v>
      </c>
      <c r="F207" s="35" t="s">
        <v>2668</v>
      </c>
      <c r="G207" s="33"/>
      <c r="H207" s="33"/>
      <c r="I207" s="33"/>
      <c r="J207" s="33"/>
      <c r="K207" s="33"/>
      <c r="L207" s="33"/>
      <c r="M207" s="54">
        <f t="shared" si="75"/>
        <v>374</v>
      </c>
      <c r="N207" s="54"/>
      <c r="O207" s="54">
        <v>374</v>
      </c>
      <c r="P207" s="54"/>
      <c r="Q207" s="68">
        <f t="shared" si="76"/>
        <v>0</v>
      </c>
      <c r="R207" s="68"/>
      <c r="S207" s="68"/>
      <c r="T207" s="68"/>
      <c r="U207" s="129"/>
      <c r="V207" s="54">
        <f t="shared" si="77"/>
        <v>374</v>
      </c>
      <c r="W207" s="92" t="s">
        <v>2689</v>
      </c>
    </row>
    <row r="208" s="4" customFormat="1" ht="26.25" customHeight="1" spans="1:23">
      <c r="A208" s="117">
        <v>101001</v>
      </c>
      <c r="B208" s="29" t="s">
        <v>2595</v>
      </c>
      <c r="C208" s="35" t="s">
        <v>2690</v>
      </c>
      <c r="D208" s="76" t="s">
        <v>2691</v>
      </c>
      <c r="E208" s="121" t="s">
        <v>2636</v>
      </c>
      <c r="F208" s="35" t="s">
        <v>2637</v>
      </c>
      <c r="G208" s="33">
        <f>SUM(H208:J208)</f>
        <v>0</v>
      </c>
      <c r="H208" s="33"/>
      <c r="I208" s="33"/>
      <c r="J208" s="33"/>
      <c r="K208" s="33"/>
      <c r="L208" s="33"/>
      <c r="M208" s="54">
        <f t="shared" si="75"/>
        <v>27.7421</v>
      </c>
      <c r="N208" s="54"/>
      <c r="O208" s="54">
        <v>27.7421</v>
      </c>
      <c r="P208" s="54"/>
      <c r="Q208" s="68">
        <f t="shared" si="76"/>
        <v>0</v>
      </c>
      <c r="R208" s="68"/>
      <c r="S208" s="68"/>
      <c r="T208" s="68"/>
      <c r="U208" s="129"/>
      <c r="V208" s="54">
        <f t="shared" si="77"/>
        <v>27.7421</v>
      </c>
      <c r="W208" s="92" t="s">
        <v>523</v>
      </c>
    </row>
    <row r="209" s="4" customFormat="1" ht="26.25" customHeight="1" spans="1:23">
      <c r="A209" s="115">
        <v>201001</v>
      </c>
      <c r="B209" s="23" t="s">
        <v>2692</v>
      </c>
      <c r="C209" s="116"/>
      <c r="D209" s="116"/>
      <c r="E209" s="84"/>
      <c r="F209" s="26"/>
      <c r="G209" s="27">
        <f t="shared" ref="G209:V209" si="78">SUM(G210:G233)</f>
        <v>9777</v>
      </c>
      <c r="H209" s="27">
        <f t="shared" si="78"/>
        <v>7159</v>
      </c>
      <c r="I209" s="27">
        <f t="shared" si="78"/>
        <v>0</v>
      </c>
      <c r="J209" s="27">
        <f t="shared" si="78"/>
        <v>2618</v>
      </c>
      <c r="K209" s="27">
        <f t="shared" si="78"/>
        <v>-400.68</v>
      </c>
      <c r="L209" s="27">
        <f t="shared" si="78"/>
        <v>10</v>
      </c>
      <c r="M209" s="27">
        <f t="shared" si="78"/>
        <v>-589.5</v>
      </c>
      <c r="N209" s="27">
        <f t="shared" si="78"/>
        <v>-2618</v>
      </c>
      <c r="O209" s="27">
        <f t="shared" si="78"/>
        <v>2028.5</v>
      </c>
      <c r="P209" s="27">
        <f t="shared" si="78"/>
        <v>0</v>
      </c>
      <c r="Q209" s="27">
        <f t="shared" si="78"/>
        <v>864.4643</v>
      </c>
      <c r="R209" s="27">
        <f t="shared" si="78"/>
        <v>195.1943</v>
      </c>
      <c r="S209" s="27">
        <f t="shared" si="78"/>
        <v>669.27</v>
      </c>
      <c r="T209" s="27">
        <f t="shared" si="78"/>
        <v>0</v>
      </c>
      <c r="U209" s="27">
        <f t="shared" si="78"/>
        <v>1665</v>
      </c>
      <c r="V209" s="27">
        <f t="shared" si="78"/>
        <v>7996.2843</v>
      </c>
      <c r="W209" s="67"/>
    </row>
    <row r="210" s="4" customFormat="1" ht="26.25" customHeight="1" spans="1:23">
      <c r="A210" s="117">
        <v>201001</v>
      </c>
      <c r="B210" s="29" t="s">
        <v>2693</v>
      </c>
      <c r="C210" s="118" t="s">
        <v>2694</v>
      </c>
      <c r="D210" s="120" t="s">
        <v>2083</v>
      </c>
      <c r="E210" s="37" t="s">
        <v>2695</v>
      </c>
      <c r="F210" s="32" t="s">
        <v>2696</v>
      </c>
      <c r="G210" s="33">
        <f t="shared" ref="G210:G219" si="79">SUM(H210:J210)</f>
        <v>18.3</v>
      </c>
      <c r="H210" s="33">
        <v>18.3</v>
      </c>
      <c r="I210" s="33"/>
      <c r="J210" s="33"/>
      <c r="K210" s="33"/>
      <c r="L210" s="33"/>
      <c r="M210" s="54">
        <f t="shared" ref="M210:M222" si="80">N210+O210-P210</f>
        <v>0</v>
      </c>
      <c r="N210" s="54"/>
      <c r="O210" s="54"/>
      <c r="P210" s="54"/>
      <c r="Q210" s="68">
        <f t="shared" ref="Q210:Q222" si="81">R210+S210-T210</f>
        <v>0</v>
      </c>
      <c r="R210" s="68"/>
      <c r="S210" s="68"/>
      <c r="T210" s="68"/>
      <c r="U210" s="129"/>
      <c r="V210" s="70">
        <f t="shared" ref="V210:V223" si="82">G210+K210+L210+M210+Q210-U210</f>
        <v>18.3</v>
      </c>
      <c r="W210" s="130" t="s">
        <v>2283</v>
      </c>
    </row>
    <row r="211" s="4" customFormat="1" ht="26.25" customHeight="1" spans="1:23">
      <c r="A211" s="117">
        <v>201001</v>
      </c>
      <c r="B211" s="29" t="s">
        <v>2693</v>
      </c>
      <c r="C211" s="118" t="s">
        <v>2694</v>
      </c>
      <c r="D211" s="120" t="s">
        <v>2083</v>
      </c>
      <c r="E211" s="37" t="s">
        <v>2697</v>
      </c>
      <c r="F211" s="32" t="s">
        <v>2698</v>
      </c>
      <c r="G211" s="33">
        <f t="shared" si="79"/>
        <v>98</v>
      </c>
      <c r="H211" s="33">
        <v>98</v>
      </c>
      <c r="I211" s="33"/>
      <c r="J211" s="33"/>
      <c r="K211" s="33"/>
      <c r="L211" s="33"/>
      <c r="M211" s="54">
        <f t="shared" si="80"/>
        <v>0</v>
      </c>
      <c r="N211" s="54"/>
      <c r="O211" s="54"/>
      <c r="P211" s="54"/>
      <c r="Q211" s="68">
        <f t="shared" si="81"/>
        <v>0</v>
      </c>
      <c r="R211" s="68"/>
      <c r="S211" s="68"/>
      <c r="T211" s="68"/>
      <c r="U211" s="129"/>
      <c r="V211" s="70">
        <f t="shared" si="82"/>
        <v>98</v>
      </c>
      <c r="W211" s="130" t="s">
        <v>2283</v>
      </c>
    </row>
    <row r="212" s="4" customFormat="1" ht="26.25" customHeight="1" spans="1:23">
      <c r="A212" s="117">
        <v>201001</v>
      </c>
      <c r="B212" s="29" t="s">
        <v>2693</v>
      </c>
      <c r="C212" s="118" t="s">
        <v>2694</v>
      </c>
      <c r="D212" s="119" t="s">
        <v>2083</v>
      </c>
      <c r="E212" s="30" t="s">
        <v>2699</v>
      </c>
      <c r="F212" s="32" t="s">
        <v>933</v>
      </c>
      <c r="G212" s="33">
        <f t="shared" si="79"/>
        <v>2</v>
      </c>
      <c r="H212" s="33">
        <v>2</v>
      </c>
      <c r="I212" s="33"/>
      <c r="J212" s="33"/>
      <c r="K212" s="33"/>
      <c r="L212" s="33"/>
      <c r="M212" s="54">
        <f t="shared" si="80"/>
        <v>0</v>
      </c>
      <c r="N212" s="54"/>
      <c r="O212" s="54"/>
      <c r="P212" s="54"/>
      <c r="Q212" s="68">
        <f t="shared" si="81"/>
        <v>0</v>
      </c>
      <c r="R212" s="68"/>
      <c r="S212" s="68"/>
      <c r="T212" s="68"/>
      <c r="U212" s="129"/>
      <c r="V212" s="33">
        <f t="shared" si="82"/>
        <v>2</v>
      </c>
      <c r="W212" s="130" t="s">
        <v>2283</v>
      </c>
    </row>
    <row r="213" s="4" customFormat="1" ht="26.25" customHeight="1" spans="1:23">
      <c r="A213" s="117">
        <v>201001</v>
      </c>
      <c r="B213" s="29" t="s">
        <v>2693</v>
      </c>
      <c r="C213" s="118" t="s">
        <v>2694</v>
      </c>
      <c r="D213" s="119" t="s">
        <v>2083</v>
      </c>
      <c r="E213" s="30" t="s">
        <v>2700</v>
      </c>
      <c r="F213" s="32" t="s">
        <v>972</v>
      </c>
      <c r="G213" s="33">
        <f t="shared" si="79"/>
        <v>380</v>
      </c>
      <c r="H213" s="33">
        <v>380</v>
      </c>
      <c r="I213" s="33"/>
      <c r="J213" s="33"/>
      <c r="K213" s="33"/>
      <c r="L213" s="33"/>
      <c r="M213" s="54">
        <f t="shared" si="80"/>
        <v>0</v>
      </c>
      <c r="N213" s="54"/>
      <c r="O213" s="54"/>
      <c r="P213" s="54"/>
      <c r="Q213" s="68">
        <f t="shared" si="81"/>
        <v>0</v>
      </c>
      <c r="R213" s="68"/>
      <c r="S213" s="68"/>
      <c r="T213" s="68"/>
      <c r="U213" s="129">
        <v>70</v>
      </c>
      <c r="V213" s="33">
        <f t="shared" si="82"/>
        <v>310</v>
      </c>
      <c r="W213" s="130" t="s">
        <v>2283</v>
      </c>
    </row>
    <row r="214" s="4" customFormat="1" ht="26.25" customHeight="1" spans="1:23">
      <c r="A214" s="117">
        <v>201001</v>
      </c>
      <c r="B214" s="29" t="s">
        <v>2693</v>
      </c>
      <c r="C214" s="118" t="s">
        <v>2694</v>
      </c>
      <c r="D214" s="119" t="s">
        <v>2083</v>
      </c>
      <c r="E214" s="121" t="s">
        <v>2701</v>
      </c>
      <c r="F214" s="35" t="s">
        <v>2317</v>
      </c>
      <c r="G214" s="33">
        <f t="shared" si="79"/>
        <v>0</v>
      </c>
      <c r="H214" s="33"/>
      <c r="I214" s="33"/>
      <c r="J214" s="33"/>
      <c r="K214" s="55">
        <v>4.32</v>
      </c>
      <c r="L214" s="33"/>
      <c r="M214" s="54">
        <f t="shared" si="80"/>
        <v>0</v>
      </c>
      <c r="N214" s="54"/>
      <c r="O214" s="54"/>
      <c r="P214" s="54"/>
      <c r="Q214" s="68">
        <f t="shared" si="81"/>
        <v>0</v>
      </c>
      <c r="R214" s="68"/>
      <c r="S214" s="68"/>
      <c r="T214" s="68"/>
      <c r="U214" s="129"/>
      <c r="V214" s="33">
        <f t="shared" si="82"/>
        <v>4.32</v>
      </c>
      <c r="W214" s="130" t="s">
        <v>2283</v>
      </c>
    </row>
    <row r="215" s="4" customFormat="1" ht="26.25" customHeight="1" spans="1:23">
      <c r="A215" s="117">
        <v>201001</v>
      </c>
      <c r="B215" s="29" t="s">
        <v>2693</v>
      </c>
      <c r="C215" s="118" t="s">
        <v>2702</v>
      </c>
      <c r="D215" s="119" t="s">
        <v>2703</v>
      </c>
      <c r="E215" s="30" t="s">
        <v>2704</v>
      </c>
      <c r="F215" s="32" t="s">
        <v>2705</v>
      </c>
      <c r="G215" s="33">
        <f t="shared" si="79"/>
        <v>18</v>
      </c>
      <c r="H215" s="33">
        <v>18</v>
      </c>
      <c r="I215" s="33"/>
      <c r="J215" s="33"/>
      <c r="K215" s="33"/>
      <c r="L215" s="33"/>
      <c r="M215" s="54">
        <f t="shared" si="80"/>
        <v>0</v>
      </c>
      <c r="N215" s="54"/>
      <c r="O215" s="54"/>
      <c r="P215" s="54"/>
      <c r="Q215" s="68">
        <f t="shared" si="81"/>
        <v>0</v>
      </c>
      <c r="R215" s="68"/>
      <c r="S215" s="68"/>
      <c r="T215" s="68"/>
      <c r="U215" s="129"/>
      <c r="V215" s="33">
        <f t="shared" si="82"/>
        <v>18</v>
      </c>
      <c r="W215" s="130" t="s">
        <v>2283</v>
      </c>
    </row>
    <row r="216" s="4" customFormat="1" ht="26.25" customHeight="1" spans="1:23">
      <c r="A216" s="117">
        <v>201001</v>
      </c>
      <c r="B216" s="29" t="s">
        <v>2693</v>
      </c>
      <c r="C216" s="118" t="s">
        <v>2702</v>
      </c>
      <c r="D216" s="120" t="s">
        <v>2703</v>
      </c>
      <c r="E216" s="37" t="s">
        <v>2706</v>
      </c>
      <c r="F216" s="32" t="s">
        <v>973</v>
      </c>
      <c r="G216" s="33">
        <f t="shared" si="79"/>
        <v>3275</v>
      </c>
      <c r="H216" s="33">
        <v>3275</v>
      </c>
      <c r="I216" s="33"/>
      <c r="J216" s="33"/>
      <c r="K216" s="33"/>
      <c r="L216" s="33"/>
      <c r="M216" s="54">
        <f t="shared" si="80"/>
        <v>0</v>
      </c>
      <c r="N216" s="54"/>
      <c r="O216" s="54"/>
      <c r="P216" s="54"/>
      <c r="Q216" s="68">
        <f t="shared" si="81"/>
        <v>0</v>
      </c>
      <c r="R216" s="68"/>
      <c r="S216" s="68"/>
      <c r="T216" s="68"/>
      <c r="U216" s="129">
        <v>50</v>
      </c>
      <c r="V216" s="70">
        <f t="shared" si="82"/>
        <v>3225</v>
      </c>
      <c r="W216" s="130" t="s">
        <v>2283</v>
      </c>
    </row>
    <row r="217" s="4" customFormat="1" ht="26.25" customHeight="1" spans="1:23">
      <c r="A217" s="117">
        <v>201001</v>
      </c>
      <c r="B217" s="29" t="s">
        <v>2693</v>
      </c>
      <c r="C217" s="118" t="s">
        <v>2702</v>
      </c>
      <c r="D217" s="29" t="s">
        <v>2703</v>
      </c>
      <c r="E217" s="30" t="s">
        <v>2707</v>
      </c>
      <c r="F217" s="118" t="s">
        <v>2708</v>
      </c>
      <c r="G217" s="33">
        <f t="shared" si="79"/>
        <v>24</v>
      </c>
      <c r="H217" s="33">
        <v>24</v>
      </c>
      <c r="I217" s="33"/>
      <c r="J217" s="33"/>
      <c r="K217" s="33"/>
      <c r="L217" s="33"/>
      <c r="M217" s="54">
        <f t="shared" si="80"/>
        <v>0</v>
      </c>
      <c r="N217" s="54"/>
      <c r="O217" s="54"/>
      <c r="P217" s="54"/>
      <c r="Q217" s="68">
        <f t="shared" si="81"/>
        <v>0</v>
      </c>
      <c r="R217" s="68"/>
      <c r="S217" s="68"/>
      <c r="T217" s="68"/>
      <c r="U217" s="129"/>
      <c r="V217" s="33">
        <f t="shared" si="82"/>
        <v>24</v>
      </c>
      <c r="W217" s="130" t="s">
        <v>2283</v>
      </c>
    </row>
    <row r="218" s="4" customFormat="1" ht="26.25" customHeight="1" spans="1:23">
      <c r="A218" s="117">
        <v>201001</v>
      </c>
      <c r="B218" s="29" t="s">
        <v>2693</v>
      </c>
      <c r="C218" s="118" t="s">
        <v>2702</v>
      </c>
      <c r="D218" s="29" t="s">
        <v>2703</v>
      </c>
      <c r="E218" s="30"/>
      <c r="F218" s="42" t="s">
        <v>971</v>
      </c>
      <c r="G218" s="33">
        <f t="shared" si="79"/>
        <v>0</v>
      </c>
      <c r="H218" s="33"/>
      <c r="I218" s="33"/>
      <c r="J218" s="33"/>
      <c r="K218" s="33"/>
      <c r="L218" s="33">
        <v>10</v>
      </c>
      <c r="M218" s="54">
        <f t="shared" si="80"/>
        <v>0</v>
      </c>
      <c r="N218" s="54"/>
      <c r="O218" s="54"/>
      <c r="P218" s="54"/>
      <c r="Q218" s="68">
        <f t="shared" si="81"/>
        <v>0</v>
      </c>
      <c r="R218" s="68"/>
      <c r="S218" s="68"/>
      <c r="T218" s="68"/>
      <c r="U218" s="129"/>
      <c r="V218" s="33">
        <f t="shared" si="82"/>
        <v>10</v>
      </c>
      <c r="W218" s="130" t="s">
        <v>2283</v>
      </c>
    </row>
    <row r="219" s="4" customFormat="1" ht="26.25" customHeight="1" spans="1:23">
      <c r="A219" s="117">
        <v>201001</v>
      </c>
      <c r="B219" s="29" t="s">
        <v>2693</v>
      </c>
      <c r="C219" s="35" t="s">
        <v>2702</v>
      </c>
      <c r="D219" s="76" t="s">
        <v>2703</v>
      </c>
      <c r="E219" s="127" t="s">
        <v>2709</v>
      </c>
      <c r="F219" s="35" t="s">
        <v>2710</v>
      </c>
      <c r="G219" s="33">
        <f t="shared" si="79"/>
        <v>0</v>
      </c>
      <c r="H219" s="33"/>
      <c r="I219" s="33"/>
      <c r="J219" s="33"/>
      <c r="K219" s="33"/>
      <c r="L219" s="33"/>
      <c r="M219" s="54">
        <f t="shared" si="80"/>
        <v>52.3</v>
      </c>
      <c r="N219" s="54"/>
      <c r="O219" s="54">
        <v>52.3</v>
      </c>
      <c r="P219" s="54"/>
      <c r="Q219" s="68">
        <f t="shared" si="81"/>
        <v>0</v>
      </c>
      <c r="R219" s="68"/>
      <c r="S219" s="68"/>
      <c r="T219" s="68"/>
      <c r="U219" s="129"/>
      <c r="V219" s="54">
        <f t="shared" si="82"/>
        <v>52.3</v>
      </c>
      <c r="W219" s="92" t="s">
        <v>510</v>
      </c>
    </row>
    <row r="220" s="4" customFormat="1" ht="26.25" customHeight="1" spans="1:23">
      <c r="A220" s="117">
        <v>201001</v>
      </c>
      <c r="B220" s="29" t="s">
        <v>2693</v>
      </c>
      <c r="C220" s="35" t="s">
        <v>2702</v>
      </c>
      <c r="D220" s="76" t="s">
        <v>2703</v>
      </c>
      <c r="E220" s="127" t="s">
        <v>2709</v>
      </c>
      <c r="F220" s="35" t="s">
        <v>2710</v>
      </c>
      <c r="G220" s="33"/>
      <c r="H220" s="33"/>
      <c r="I220" s="33"/>
      <c r="J220" s="33"/>
      <c r="K220" s="33"/>
      <c r="L220" s="33"/>
      <c r="M220" s="54">
        <f t="shared" si="80"/>
        <v>43.7</v>
      </c>
      <c r="N220" s="54"/>
      <c r="O220" s="54">
        <v>43.7</v>
      </c>
      <c r="P220" s="54"/>
      <c r="Q220" s="68">
        <f t="shared" si="81"/>
        <v>0</v>
      </c>
      <c r="R220" s="68"/>
      <c r="S220" s="68"/>
      <c r="T220" s="68"/>
      <c r="U220" s="129"/>
      <c r="V220" s="54">
        <f t="shared" si="82"/>
        <v>43.7</v>
      </c>
      <c r="W220" s="92" t="s">
        <v>706</v>
      </c>
    </row>
    <row r="221" s="4" customFormat="1" ht="26.25" customHeight="1" spans="1:23">
      <c r="A221" s="117">
        <v>201001</v>
      </c>
      <c r="B221" s="29" t="s">
        <v>2693</v>
      </c>
      <c r="C221" s="35" t="s">
        <v>2702</v>
      </c>
      <c r="D221" s="76" t="s">
        <v>2703</v>
      </c>
      <c r="E221" s="127" t="s">
        <v>2709</v>
      </c>
      <c r="F221" s="35" t="s">
        <v>2710</v>
      </c>
      <c r="G221" s="33"/>
      <c r="H221" s="33"/>
      <c r="I221" s="33"/>
      <c r="J221" s="33"/>
      <c r="K221" s="33"/>
      <c r="L221" s="33"/>
      <c r="M221" s="54">
        <f t="shared" si="80"/>
        <v>8.890624</v>
      </c>
      <c r="N221" s="54"/>
      <c r="O221" s="54">
        <v>8.890624</v>
      </c>
      <c r="P221" s="54"/>
      <c r="Q221" s="68">
        <f t="shared" si="81"/>
        <v>0</v>
      </c>
      <c r="R221" s="68"/>
      <c r="S221" s="68"/>
      <c r="T221" s="68"/>
      <c r="U221" s="129"/>
      <c r="V221" s="54">
        <f t="shared" si="82"/>
        <v>8.890624</v>
      </c>
      <c r="W221" s="92" t="s">
        <v>708</v>
      </c>
    </row>
    <row r="222" s="4" customFormat="1" ht="26.25" customHeight="1" spans="1:23">
      <c r="A222" s="117">
        <v>201001</v>
      </c>
      <c r="B222" s="29" t="s">
        <v>2693</v>
      </c>
      <c r="C222" s="35" t="s">
        <v>2337</v>
      </c>
      <c r="D222" s="76" t="s">
        <v>2338</v>
      </c>
      <c r="E222" s="127" t="s">
        <v>2709</v>
      </c>
      <c r="F222" s="35" t="s">
        <v>2710</v>
      </c>
      <c r="G222" s="33"/>
      <c r="H222" s="33"/>
      <c r="I222" s="33"/>
      <c r="J222" s="33"/>
      <c r="K222" s="33"/>
      <c r="L222" s="33"/>
      <c r="M222" s="54">
        <f t="shared" si="80"/>
        <v>14.609376</v>
      </c>
      <c r="N222" s="54"/>
      <c r="O222" s="54">
        <v>14.609376</v>
      </c>
      <c r="P222" s="54"/>
      <c r="Q222" s="68">
        <f t="shared" si="81"/>
        <v>0</v>
      </c>
      <c r="R222" s="68"/>
      <c r="S222" s="68"/>
      <c r="T222" s="68"/>
      <c r="U222" s="129"/>
      <c r="V222" s="54">
        <f t="shared" si="82"/>
        <v>14.609376</v>
      </c>
      <c r="W222" s="92" t="s">
        <v>708</v>
      </c>
    </row>
    <row r="223" s="4" customFormat="1" ht="26.25" customHeight="1" spans="1:23">
      <c r="A223" s="117">
        <v>201001</v>
      </c>
      <c r="B223" s="29" t="s">
        <v>2693</v>
      </c>
      <c r="C223" s="118" t="s">
        <v>2711</v>
      </c>
      <c r="D223" s="135" t="s">
        <v>2712</v>
      </c>
      <c r="E223" s="37" t="s">
        <v>2713</v>
      </c>
      <c r="F223" s="48" t="s">
        <v>974</v>
      </c>
      <c r="G223" s="33">
        <f t="shared" ref="G223:G233" si="83">SUM(H223:J223)</f>
        <v>1800</v>
      </c>
      <c r="H223" s="33">
        <v>1800</v>
      </c>
      <c r="I223" s="33"/>
      <c r="J223" s="33"/>
      <c r="K223" s="33">
        <v>-405</v>
      </c>
      <c r="L223" s="33"/>
      <c r="M223" s="54">
        <f t="shared" ref="M223:M233" si="84">N223+O223-P223</f>
        <v>0</v>
      </c>
      <c r="N223" s="54"/>
      <c r="O223" s="54"/>
      <c r="P223" s="54"/>
      <c r="Q223" s="68">
        <f t="shared" ref="Q223:Q233" si="85">R223+S223-T223</f>
        <v>0</v>
      </c>
      <c r="R223" s="68"/>
      <c r="S223" s="68"/>
      <c r="T223" s="68"/>
      <c r="U223" s="129">
        <v>1395</v>
      </c>
      <c r="V223" s="33">
        <f t="shared" si="82"/>
        <v>0</v>
      </c>
      <c r="W223" s="130" t="s">
        <v>2283</v>
      </c>
    </row>
    <row r="224" s="4" customFormat="1" ht="26.25" customHeight="1" spans="1:23">
      <c r="A224" s="117">
        <v>201001</v>
      </c>
      <c r="B224" s="29" t="s">
        <v>2693</v>
      </c>
      <c r="C224" s="118" t="s">
        <v>2711</v>
      </c>
      <c r="D224" s="82" t="s">
        <v>2712</v>
      </c>
      <c r="E224" s="37" t="s">
        <v>2714</v>
      </c>
      <c r="F224" s="48" t="s">
        <v>2715</v>
      </c>
      <c r="G224" s="33">
        <f t="shared" si="83"/>
        <v>530</v>
      </c>
      <c r="H224" s="33"/>
      <c r="I224" s="33"/>
      <c r="J224" s="33">
        <v>530</v>
      </c>
      <c r="K224" s="33"/>
      <c r="L224" s="33"/>
      <c r="M224" s="54">
        <f t="shared" si="84"/>
        <v>-530</v>
      </c>
      <c r="N224" s="54">
        <v>-530</v>
      </c>
      <c r="O224" s="54"/>
      <c r="P224" s="54"/>
      <c r="Q224" s="68">
        <f t="shared" si="85"/>
        <v>0</v>
      </c>
      <c r="R224" s="68"/>
      <c r="S224" s="68"/>
      <c r="T224" s="68"/>
      <c r="U224" s="129"/>
      <c r="V224" s="54">
        <f t="shared" ref="V223:V233" si="86">G224+K224+L224+M224+Q224-U224</f>
        <v>0</v>
      </c>
      <c r="W224" s="92" t="s">
        <v>2283</v>
      </c>
    </row>
    <row r="225" s="4" customFormat="1" ht="26.25" customHeight="1" spans="1:23">
      <c r="A225" s="117">
        <v>201001</v>
      </c>
      <c r="B225" s="29" t="s">
        <v>2693</v>
      </c>
      <c r="C225" s="118" t="s">
        <v>2716</v>
      </c>
      <c r="D225" s="135" t="s">
        <v>2717</v>
      </c>
      <c r="E225" s="37" t="s">
        <v>2718</v>
      </c>
      <c r="F225" s="48" t="s">
        <v>976</v>
      </c>
      <c r="G225" s="33">
        <f t="shared" si="83"/>
        <v>600</v>
      </c>
      <c r="H225" s="33">
        <v>600</v>
      </c>
      <c r="I225" s="33"/>
      <c r="J225" s="33"/>
      <c r="K225" s="33"/>
      <c r="L225" s="33"/>
      <c r="M225" s="54">
        <f t="shared" si="84"/>
        <v>0</v>
      </c>
      <c r="N225" s="54"/>
      <c r="O225" s="54"/>
      <c r="P225" s="54"/>
      <c r="Q225" s="68">
        <f t="shared" si="85"/>
        <v>0</v>
      </c>
      <c r="R225" s="68"/>
      <c r="S225" s="68"/>
      <c r="T225" s="68"/>
      <c r="U225" s="129">
        <v>150</v>
      </c>
      <c r="V225" s="33">
        <f t="shared" si="86"/>
        <v>450</v>
      </c>
      <c r="W225" s="130" t="s">
        <v>2283</v>
      </c>
    </row>
    <row r="226" s="4" customFormat="1" ht="26.25" customHeight="1" spans="1:23">
      <c r="A226" s="117">
        <v>201001</v>
      </c>
      <c r="B226" s="29" t="s">
        <v>2693</v>
      </c>
      <c r="C226" s="118" t="s">
        <v>2719</v>
      </c>
      <c r="D226" s="86" t="s">
        <v>2720</v>
      </c>
      <c r="E226" s="127" t="s">
        <v>2721</v>
      </c>
      <c r="F226" s="38" t="s">
        <v>2722</v>
      </c>
      <c r="G226" s="33">
        <f t="shared" si="83"/>
        <v>0</v>
      </c>
      <c r="H226" s="33"/>
      <c r="I226" s="33"/>
      <c r="J226" s="33"/>
      <c r="K226" s="33"/>
      <c r="L226" s="33"/>
      <c r="M226" s="54">
        <f t="shared" si="84"/>
        <v>0</v>
      </c>
      <c r="N226" s="54"/>
      <c r="O226" s="54"/>
      <c r="P226" s="54"/>
      <c r="Q226" s="68">
        <f t="shared" si="85"/>
        <v>669.27</v>
      </c>
      <c r="R226" s="68"/>
      <c r="S226" s="68">
        <v>669.27</v>
      </c>
      <c r="T226" s="68"/>
      <c r="U226" s="129"/>
      <c r="V226" s="68">
        <f t="shared" si="86"/>
        <v>669.27</v>
      </c>
      <c r="W226" s="71" t="s">
        <v>2723</v>
      </c>
    </row>
    <row r="227" s="4" customFormat="1" ht="26.25" customHeight="1" spans="1:23">
      <c r="A227" s="117">
        <v>201001</v>
      </c>
      <c r="B227" s="29" t="s">
        <v>2693</v>
      </c>
      <c r="C227" s="118" t="s">
        <v>2719</v>
      </c>
      <c r="D227" s="82" t="s">
        <v>2720</v>
      </c>
      <c r="E227" s="37" t="s">
        <v>2724</v>
      </c>
      <c r="F227" s="48" t="s">
        <v>2725</v>
      </c>
      <c r="G227" s="33">
        <f t="shared" si="83"/>
        <v>2000</v>
      </c>
      <c r="H227" s="33"/>
      <c r="I227" s="33"/>
      <c r="J227" s="33">
        <v>2000</v>
      </c>
      <c r="K227" s="33"/>
      <c r="L227" s="33"/>
      <c r="M227" s="54">
        <f t="shared" si="84"/>
        <v>-738</v>
      </c>
      <c r="N227" s="54">
        <v>-2000</v>
      </c>
      <c r="O227" s="54">
        <v>1262</v>
      </c>
      <c r="P227" s="54"/>
      <c r="Q227" s="68">
        <f t="shared" si="85"/>
        <v>0</v>
      </c>
      <c r="R227" s="68"/>
      <c r="S227" s="68"/>
      <c r="T227" s="68"/>
      <c r="U227" s="129"/>
      <c r="V227" s="54">
        <f t="shared" si="86"/>
        <v>1262</v>
      </c>
      <c r="W227" s="92" t="s">
        <v>577</v>
      </c>
    </row>
    <row r="228" s="4" customFormat="1" ht="26.25" customHeight="1" spans="1:23">
      <c r="A228" s="117">
        <v>201001</v>
      </c>
      <c r="B228" s="29" t="s">
        <v>2693</v>
      </c>
      <c r="C228" s="118" t="s">
        <v>2719</v>
      </c>
      <c r="D228" s="82" t="s">
        <v>2720</v>
      </c>
      <c r="E228" s="37" t="s">
        <v>2724</v>
      </c>
      <c r="F228" s="48" t="s">
        <v>2725</v>
      </c>
      <c r="G228" s="33">
        <f t="shared" si="83"/>
        <v>0</v>
      </c>
      <c r="H228" s="33"/>
      <c r="I228" s="33"/>
      <c r="J228" s="33"/>
      <c r="K228" s="33"/>
      <c r="L228" s="33"/>
      <c r="M228" s="54">
        <f t="shared" si="84"/>
        <v>647</v>
      </c>
      <c r="N228" s="54"/>
      <c r="O228" s="54">
        <v>647</v>
      </c>
      <c r="P228" s="54"/>
      <c r="Q228" s="68">
        <f t="shared" si="85"/>
        <v>0</v>
      </c>
      <c r="R228" s="68"/>
      <c r="S228" s="68"/>
      <c r="T228" s="68"/>
      <c r="U228" s="129"/>
      <c r="V228" s="54">
        <f t="shared" si="86"/>
        <v>647</v>
      </c>
      <c r="W228" s="92" t="s">
        <v>688</v>
      </c>
    </row>
    <row r="229" s="4" customFormat="1" ht="26.25" customHeight="1" spans="1:23">
      <c r="A229" s="117">
        <v>201001</v>
      </c>
      <c r="B229" s="29" t="s">
        <v>2693</v>
      </c>
      <c r="C229" s="118" t="s">
        <v>2726</v>
      </c>
      <c r="D229" s="86" t="s">
        <v>2727</v>
      </c>
      <c r="E229" s="127" t="s">
        <v>2728</v>
      </c>
      <c r="F229" s="38" t="s">
        <v>2729</v>
      </c>
      <c r="G229" s="33">
        <f t="shared" si="83"/>
        <v>0</v>
      </c>
      <c r="H229" s="33"/>
      <c r="I229" s="33"/>
      <c r="J229" s="33"/>
      <c r="K229" s="33"/>
      <c r="L229" s="33"/>
      <c r="M229" s="54">
        <f t="shared" si="84"/>
        <v>0</v>
      </c>
      <c r="N229" s="54"/>
      <c r="O229" s="54"/>
      <c r="P229" s="54"/>
      <c r="Q229" s="68">
        <f t="shared" si="85"/>
        <v>195.1943</v>
      </c>
      <c r="R229" s="68">
        <v>195.1943</v>
      </c>
      <c r="S229" s="68"/>
      <c r="T229" s="68"/>
      <c r="U229" s="129"/>
      <c r="V229" s="68">
        <f t="shared" si="86"/>
        <v>195.1943</v>
      </c>
      <c r="W229" s="91" t="s">
        <v>2498</v>
      </c>
    </row>
    <row r="230" s="4" customFormat="1" ht="26.25" customHeight="1" spans="1:23">
      <c r="A230" s="117">
        <v>201001</v>
      </c>
      <c r="B230" s="29" t="s">
        <v>2693</v>
      </c>
      <c r="C230" s="118" t="s">
        <v>2726</v>
      </c>
      <c r="D230" s="135" t="s">
        <v>2727</v>
      </c>
      <c r="E230" s="37" t="s">
        <v>2730</v>
      </c>
      <c r="F230" s="48" t="s">
        <v>2731</v>
      </c>
      <c r="G230" s="33">
        <f t="shared" si="83"/>
        <v>830</v>
      </c>
      <c r="H230" s="33">
        <v>830</v>
      </c>
      <c r="I230" s="33"/>
      <c r="J230" s="33"/>
      <c r="K230" s="33"/>
      <c r="L230" s="33"/>
      <c r="M230" s="54">
        <f t="shared" si="84"/>
        <v>0</v>
      </c>
      <c r="N230" s="54"/>
      <c r="O230" s="54"/>
      <c r="P230" s="54"/>
      <c r="Q230" s="68">
        <f t="shared" si="85"/>
        <v>0</v>
      </c>
      <c r="R230" s="68"/>
      <c r="S230" s="68"/>
      <c r="T230" s="68"/>
      <c r="U230" s="129"/>
      <c r="V230" s="33">
        <f t="shared" si="86"/>
        <v>830</v>
      </c>
      <c r="W230" s="130" t="s">
        <v>2283</v>
      </c>
    </row>
    <row r="231" s="4" customFormat="1" ht="26.25" customHeight="1" spans="1:23">
      <c r="A231" s="117">
        <v>201001</v>
      </c>
      <c r="B231" s="29" t="s">
        <v>2693</v>
      </c>
      <c r="C231" s="118" t="s">
        <v>2732</v>
      </c>
      <c r="D231" s="135" t="s">
        <v>2733</v>
      </c>
      <c r="E231" s="37" t="s">
        <v>2734</v>
      </c>
      <c r="F231" s="48" t="s">
        <v>2735</v>
      </c>
      <c r="G231" s="33">
        <f t="shared" si="83"/>
        <v>56</v>
      </c>
      <c r="H231" s="33">
        <v>56</v>
      </c>
      <c r="I231" s="33"/>
      <c r="J231" s="33"/>
      <c r="K231" s="33"/>
      <c r="L231" s="33"/>
      <c r="M231" s="54">
        <f t="shared" si="84"/>
        <v>0</v>
      </c>
      <c r="N231" s="54"/>
      <c r="O231" s="54"/>
      <c r="P231" s="54"/>
      <c r="Q231" s="68">
        <f t="shared" si="85"/>
        <v>0</v>
      </c>
      <c r="R231" s="68"/>
      <c r="S231" s="68"/>
      <c r="T231" s="68"/>
      <c r="U231" s="129"/>
      <c r="V231" s="33">
        <f t="shared" si="86"/>
        <v>56</v>
      </c>
      <c r="W231" s="130" t="s">
        <v>2283</v>
      </c>
    </row>
    <row r="232" s="4" customFormat="1" ht="26.25" customHeight="1" spans="1:23">
      <c r="A232" s="117">
        <v>201001</v>
      </c>
      <c r="B232" s="29" t="s">
        <v>2693</v>
      </c>
      <c r="C232" s="118" t="s">
        <v>2337</v>
      </c>
      <c r="D232" s="135" t="s">
        <v>2338</v>
      </c>
      <c r="E232" s="37" t="s">
        <v>2736</v>
      </c>
      <c r="F232" s="32" t="s">
        <v>2737</v>
      </c>
      <c r="G232" s="33">
        <f t="shared" si="83"/>
        <v>57.7</v>
      </c>
      <c r="H232" s="33">
        <v>57.7</v>
      </c>
      <c r="I232" s="33"/>
      <c r="J232" s="33"/>
      <c r="K232" s="33"/>
      <c r="L232" s="33"/>
      <c r="M232" s="54">
        <f t="shared" si="84"/>
        <v>0</v>
      </c>
      <c r="N232" s="54"/>
      <c r="O232" s="54"/>
      <c r="P232" s="54"/>
      <c r="Q232" s="68">
        <f t="shared" si="85"/>
        <v>0</v>
      </c>
      <c r="R232" s="68"/>
      <c r="S232" s="68"/>
      <c r="T232" s="68"/>
      <c r="U232" s="129"/>
      <c r="V232" s="33">
        <f t="shared" si="86"/>
        <v>57.7</v>
      </c>
      <c r="W232" s="130" t="s">
        <v>2283</v>
      </c>
    </row>
    <row r="233" s="4" customFormat="1" ht="26.25" customHeight="1" spans="1:23">
      <c r="A233" s="117">
        <v>201001</v>
      </c>
      <c r="B233" s="29" t="s">
        <v>2693</v>
      </c>
      <c r="C233" s="118" t="s">
        <v>2337</v>
      </c>
      <c r="D233" s="82" t="s">
        <v>2338</v>
      </c>
      <c r="E233" s="37" t="s">
        <v>2709</v>
      </c>
      <c r="F233" s="118" t="s">
        <v>2738</v>
      </c>
      <c r="G233" s="33">
        <f t="shared" si="83"/>
        <v>88</v>
      </c>
      <c r="H233" s="33"/>
      <c r="I233" s="33"/>
      <c r="J233" s="33">
        <v>88</v>
      </c>
      <c r="K233" s="33"/>
      <c r="L233" s="33"/>
      <c r="M233" s="54">
        <f t="shared" si="84"/>
        <v>-88</v>
      </c>
      <c r="N233" s="54">
        <v>-88</v>
      </c>
      <c r="O233" s="54"/>
      <c r="P233" s="54"/>
      <c r="Q233" s="68">
        <f t="shared" si="85"/>
        <v>0</v>
      </c>
      <c r="R233" s="68"/>
      <c r="S233" s="68"/>
      <c r="T233" s="68"/>
      <c r="U233" s="129"/>
      <c r="V233" s="54">
        <f t="shared" si="86"/>
        <v>0</v>
      </c>
      <c r="W233" s="92" t="s">
        <v>2283</v>
      </c>
    </row>
    <row r="234" s="4" customFormat="1" ht="26.25" customHeight="1" spans="1:23">
      <c r="A234" s="115">
        <v>202001</v>
      </c>
      <c r="B234" s="23" t="s">
        <v>2739</v>
      </c>
      <c r="C234" s="116"/>
      <c r="D234" s="116"/>
      <c r="E234" s="84"/>
      <c r="F234" s="26"/>
      <c r="G234" s="27">
        <f t="shared" ref="G234:V234" si="87">SUM(G235:G255)</f>
        <v>6756.8</v>
      </c>
      <c r="H234" s="27">
        <f t="shared" si="87"/>
        <v>1941.1</v>
      </c>
      <c r="I234" s="27">
        <f t="shared" si="87"/>
        <v>0</v>
      </c>
      <c r="J234" s="27">
        <f t="shared" si="87"/>
        <v>4815.7</v>
      </c>
      <c r="K234" s="27">
        <f t="shared" si="87"/>
        <v>3</v>
      </c>
      <c r="L234" s="27">
        <f t="shared" si="87"/>
        <v>0</v>
      </c>
      <c r="M234" s="27">
        <f t="shared" si="87"/>
        <v>-553.4</v>
      </c>
      <c r="N234" s="27">
        <f t="shared" si="87"/>
        <v>-4815.7</v>
      </c>
      <c r="O234" s="27">
        <f t="shared" si="87"/>
        <v>4262.3</v>
      </c>
      <c r="P234" s="27">
        <f t="shared" si="87"/>
        <v>0</v>
      </c>
      <c r="Q234" s="27">
        <f t="shared" si="87"/>
        <v>113.17</v>
      </c>
      <c r="R234" s="27">
        <f t="shared" si="87"/>
        <v>0</v>
      </c>
      <c r="S234" s="27">
        <f t="shared" si="87"/>
        <v>113.17</v>
      </c>
      <c r="T234" s="27">
        <f t="shared" si="87"/>
        <v>0</v>
      </c>
      <c r="U234" s="27">
        <f t="shared" si="87"/>
        <v>241</v>
      </c>
      <c r="V234" s="27">
        <f t="shared" si="87"/>
        <v>6078.57</v>
      </c>
      <c r="W234" s="69"/>
    </row>
    <row r="235" s="4" customFormat="1" ht="26.25" customHeight="1" spans="1:23">
      <c r="A235" s="117">
        <v>202001</v>
      </c>
      <c r="B235" s="29" t="s">
        <v>2740</v>
      </c>
      <c r="C235" s="118" t="s">
        <v>2741</v>
      </c>
      <c r="D235" s="119" t="s">
        <v>2083</v>
      </c>
      <c r="E235" s="30" t="s">
        <v>2742</v>
      </c>
      <c r="F235" s="32" t="s">
        <v>933</v>
      </c>
      <c r="G235" s="33">
        <f t="shared" ref="G235:G255" si="88">SUM(H235:J235)</f>
        <v>2</v>
      </c>
      <c r="H235" s="33">
        <v>2</v>
      </c>
      <c r="I235" s="33"/>
      <c r="J235" s="33"/>
      <c r="K235" s="33"/>
      <c r="L235" s="33"/>
      <c r="M235" s="54">
        <f t="shared" ref="M235:M255" si="89">N235+O235-P235</f>
        <v>0</v>
      </c>
      <c r="N235" s="54"/>
      <c r="O235" s="54"/>
      <c r="P235" s="54"/>
      <c r="Q235" s="68">
        <f t="shared" ref="Q235:Q255" si="90">R235+S235-T235</f>
        <v>0</v>
      </c>
      <c r="R235" s="68"/>
      <c r="S235" s="68"/>
      <c r="T235" s="68"/>
      <c r="U235" s="129"/>
      <c r="V235" s="33">
        <f t="shared" ref="V235:V255" si="91">G235+K235+L235+M235+Q235-U235</f>
        <v>2</v>
      </c>
      <c r="W235" s="130" t="s">
        <v>2283</v>
      </c>
    </row>
    <row r="236" s="4" customFormat="1" ht="26.25" customHeight="1" spans="1:23">
      <c r="A236" s="117">
        <v>202001</v>
      </c>
      <c r="B236" s="29" t="s">
        <v>2740</v>
      </c>
      <c r="C236" s="118" t="s">
        <v>2741</v>
      </c>
      <c r="D236" s="119" t="s">
        <v>2083</v>
      </c>
      <c r="E236" s="30" t="s">
        <v>2743</v>
      </c>
      <c r="F236" s="32" t="s">
        <v>2744</v>
      </c>
      <c r="G236" s="33">
        <f t="shared" si="88"/>
        <v>129.5</v>
      </c>
      <c r="H236" s="33">
        <v>129.5</v>
      </c>
      <c r="I236" s="33"/>
      <c r="J236" s="33"/>
      <c r="K236" s="33">
        <v>9.5</v>
      </c>
      <c r="L236" s="33"/>
      <c r="M236" s="54">
        <f t="shared" si="89"/>
        <v>0</v>
      </c>
      <c r="N236" s="54"/>
      <c r="O236" s="54"/>
      <c r="P236" s="54"/>
      <c r="Q236" s="68">
        <f t="shared" si="90"/>
        <v>0</v>
      </c>
      <c r="R236" s="68"/>
      <c r="S236" s="68"/>
      <c r="T236" s="68"/>
      <c r="U236" s="129"/>
      <c r="V236" s="33">
        <f t="shared" si="91"/>
        <v>139</v>
      </c>
      <c r="W236" s="130" t="s">
        <v>2283</v>
      </c>
    </row>
    <row r="237" s="4" customFormat="1" ht="26.25" customHeight="1" spans="1:23">
      <c r="A237" s="117">
        <v>202001</v>
      </c>
      <c r="B237" s="29" t="s">
        <v>2740</v>
      </c>
      <c r="C237" s="118" t="s">
        <v>2741</v>
      </c>
      <c r="D237" s="119" t="s">
        <v>2083</v>
      </c>
      <c r="E237" s="121" t="s">
        <v>2745</v>
      </c>
      <c r="F237" s="35" t="s">
        <v>2317</v>
      </c>
      <c r="G237" s="33">
        <f t="shared" si="88"/>
        <v>0</v>
      </c>
      <c r="H237" s="33"/>
      <c r="I237" s="33"/>
      <c r="J237" s="33"/>
      <c r="K237" s="55">
        <v>3</v>
      </c>
      <c r="L237" s="33"/>
      <c r="M237" s="54">
        <f t="shared" si="89"/>
        <v>0</v>
      </c>
      <c r="N237" s="54"/>
      <c r="O237" s="54"/>
      <c r="P237" s="54"/>
      <c r="Q237" s="68">
        <f t="shared" si="90"/>
        <v>0</v>
      </c>
      <c r="R237" s="68"/>
      <c r="S237" s="68"/>
      <c r="T237" s="68"/>
      <c r="U237" s="129"/>
      <c r="V237" s="33">
        <f t="shared" si="91"/>
        <v>3</v>
      </c>
      <c r="W237" s="130" t="s">
        <v>2283</v>
      </c>
    </row>
    <row r="238" s="4" customFormat="1" ht="26.25" customHeight="1" spans="1:23">
      <c r="A238" s="117">
        <v>202001</v>
      </c>
      <c r="B238" s="29" t="s">
        <v>2740</v>
      </c>
      <c r="C238" s="35" t="s">
        <v>2746</v>
      </c>
      <c r="D238" s="38" t="s">
        <v>2747</v>
      </c>
      <c r="E238" s="127" t="s">
        <v>2748</v>
      </c>
      <c r="F238" s="38" t="s">
        <v>2749</v>
      </c>
      <c r="G238" s="33">
        <f t="shared" si="88"/>
        <v>0</v>
      </c>
      <c r="H238" s="33"/>
      <c r="I238" s="33"/>
      <c r="J238" s="33"/>
      <c r="K238" s="33"/>
      <c r="L238" s="33"/>
      <c r="M238" s="54">
        <f t="shared" si="89"/>
        <v>0</v>
      </c>
      <c r="N238" s="54"/>
      <c r="O238" s="54"/>
      <c r="P238" s="54"/>
      <c r="Q238" s="68">
        <f t="shared" si="90"/>
        <v>14</v>
      </c>
      <c r="R238" s="68"/>
      <c r="S238" s="68">
        <v>14</v>
      </c>
      <c r="T238" s="68"/>
      <c r="U238" s="129"/>
      <c r="V238" s="68">
        <f t="shared" si="91"/>
        <v>14</v>
      </c>
      <c r="W238" s="131" t="s">
        <v>2750</v>
      </c>
    </row>
    <row r="239" s="4" customFormat="1" ht="26.25" customHeight="1" spans="1:23">
      <c r="A239" s="117">
        <v>202001</v>
      </c>
      <c r="B239" s="29" t="s">
        <v>2740</v>
      </c>
      <c r="C239" s="118" t="s">
        <v>2751</v>
      </c>
      <c r="D239" s="119" t="s">
        <v>2752</v>
      </c>
      <c r="E239" s="37" t="s">
        <v>2753</v>
      </c>
      <c r="F239" s="48" t="s">
        <v>2754</v>
      </c>
      <c r="G239" s="33">
        <f t="shared" si="88"/>
        <v>15</v>
      </c>
      <c r="H239" s="33">
        <v>15</v>
      </c>
      <c r="I239" s="33"/>
      <c r="J239" s="33"/>
      <c r="K239" s="33"/>
      <c r="L239" s="33"/>
      <c r="M239" s="54">
        <f t="shared" si="89"/>
        <v>0</v>
      </c>
      <c r="N239" s="54"/>
      <c r="O239" s="54"/>
      <c r="P239" s="54"/>
      <c r="Q239" s="68">
        <f t="shared" si="90"/>
        <v>0</v>
      </c>
      <c r="R239" s="68"/>
      <c r="S239" s="68"/>
      <c r="T239" s="68"/>
      <c r="U239" s="129"/>
      <c r="V239" s="33">
        <f t="shared" si="91"/>
        <v>15</v>
      </c>
      <c r="W239" s="130" t="s">
        <v>2283</v>
      </c>
    </row>
    <row r="240" s="4" customFormat="1" ht="26.25" customHeight="1" spans="1:23">
      <c r="A240" s="117">
        <v>202001</v>
      </c>
      <c r="B240" s="29" t="s">
        <v>2740</v>
      </c>
      <c r="C240" s="118" t="s">
        <v>2751</v>
      </c>
      <c r="D240" s="135" t="s">
        <v>2752</v>
      </c>
      <c r="E240" s="37" t="s">
        <v>2755</v>
      </c>
      <c r="F240" s="48" t="s">
        <v>2756</v>
      </c>
      <c r="G240" s="33">
        <f t="shared" si="88"/>
        <v>200</v>
      </c>
      <c r="H240" s="33">
        <v>200</v>
      </c>
      <c r="I240" s="33"/>
      <c r="J240" s="33"/>
      <c r="K240" s="33"/>
      <c r="L240" s="33"/>
      <c r="M240" s="54">
        <f t="shared" si="89"/>
        <v>0</v>
      </c>
      <c r="N240" s="54"/>
      <c r="O240" s="54"/>
      <c r="P240" s="54"/>
      <c r="Q240" s="68">
        <f t="shared" si="90"/>
        <v>0</v>
      </c>
      <c r="R240" s="68"/>
      <c r="S240" s="68"/>
      <c r="T240" s="68"/>
      <c r="U240" s="129"/>
      <c r="V240" s="33">
        <f t="shared" si="91"/>
        <v>200</v>
      </c>
      <c r="W240" s="130" t="s">
        <v>2283</v>
      </c>
    </row>
    <row r="241" s="4" customFormat="1" ht="26.25" customHeight="1" spans="1:23">
      <c r="A241" s="117">
        <v>202001</v>
      </c>
      <c r="B241" s="29" t="s">
        <v>2740</v>
      </c>
      <c r="C241" s="118" t="s">
        <v>2751</v>
      </c>
      <c r="D241" s="29" t="s">
        <v>2752</v>
      </c>
      <c r="E241" s="37" t="s">
        <v>2757</v>
      </c>
      <c r="F241" s="48" t="s">
        <v>978</v>
      </c>
      <c r="G241" s="33">
        <f t="shared" si="88"/>
        <v>481</v>
      </c>
      <c r="H241" s="33">
        <v>481</v>
      </c>
      <c r="I241" s="33"/>
      <c r="J241" s="33"/>
      <c r="K241" s="33"/>
      <c r="L241" s="33"/>
      <c r="M241" s="54">
        <f t="shared" si="89"/>
        <v>0</v>
      </c>
      <c r="N241" s="54"/>
      <c r="O241" s="54"/>
      <c r="P241" s="54"/>
      <c r="Q241" s="68">
        <f t="shared" si="90"/>
        <v>0</v>
      </c>
      <c r="R241" s="68"/>
      <c r="S241" s="68"/>
      <c r="T241" s="68"/>
      <c r="U241" s="129">
        <v>141</v>
      </c>
      <c r="V241" s="33">
        <f t="shared" si="91"/>
        <v>340</v>
      </c>
      <c r="W241" s="130" t="s">
        <v>2283</v>
      </c>
    </row>
    <row r="242" s="4" customFormat="1" ht="26.25" customHeight="1" spans="1:23">
      <c r="A242" s="117">
        <v>202001</v>
      </c>
      <c r="B242" s="29" t="s">
        <v>2740</v>
      </c>
      <c r="C242" s="118" t="s">
        <v>2751</v>
      </c>
      <c r="D242" s="86" t="s">
        <v>2752</v>
      </c>
      <c r="E242" s="127" t="s">
        <v>2758</v>
      </c>
      <c r="F242" s="38" t="s">
        <v>2759</v>
      </c>
      <c r="G242" s="33">
        <f t="shared" si="88"/>
        <v>0</v>
      </c>
      <c r="H242" s="33"/>
      <c r="I242" s="33"/>
      <c r="J242" s="33"/>
      <c r="K242" s="33"/>
      <c r="L242" s="33"/>
      <c r="M242" s="54">
        <f t="shared" si="89"/>
        <v>0</v>
      </c>
      <c r="N242" s="54"/>
      <c r="O242" s="54"/>
      <c r="P242" s="54"/>
      <c r="Q242" s="68">
        <f t="shared" si="90"/>
        <v>90</v>
      </c>
      <c r="R242" s="68"/>
      <c r="S242" s="68">
        <v>90</v>
      </c>
      <c r="T242" s="68"/>
      <c r="U242" s="129"/>
      <c r="V242" s="68">
        <f t="shared" si="91"/>
        <v>90</v>
      </c>
      <c r="W242" s="91" t="s">
        <v>2760</v>
      </c>
    </row>
    <row r="243" s="4" customFormat="1" ht="26.25" customHeight="1" spans="1:23">
      <c r="A243" s="117">
        <v>202001</v>
      </c>
      <c r="B243" s="29" t="s">
        <v>2740</v>
      </c>
      <c r="C243" s="118" t="s">
        <v>2761</v>
      </c>
      <c r="D243" s="119" t="s">
        <v>2762</v>
      </c>
      <c r="E243" s="37" t="s">
        <v>2763</v>
      </c>
      <c r="F243" s="48" t="s">
        <v>2764</v>
      </c>
      <c r="G243" s="33">
        <f t="shared" si="88"/>
        <v>50</v>
      </c>
      <c r="H243" s="33">
        <v>50</v>
      </c>
      <c r="I243" s="33"/>
      <c r="J243" s="33"/>
      <c r="K243" s="33"/>
      <c r="L243" s="33"/>
      <c r="M243" s="54">
        <f t="shared" si="89"/>
        <v>0</v>
      </c>
      <c r="N243" s="54"/>
      <c r="O243" s="54"/>
      <c r="P243" s="54"/>
      <c r="Q243" s="68">
        <f t="shared" si="90"/>
        <v>0</v>
      </c>
      <c r="R243" s="68"/>
      <c r="S243" s="68"/>
      <c r="T243" s="68"/>
      <c r="U243" s="129"/>
      <c r="V243" s="33">
        <f t="shared" si="91"/>
        <v>50</v>
      </c>
      <c r="W243" s="130" t="s">
        <v>2283</v>
      </c>
    </row>
    <row r="244" s="4" customFormat="1" ht="26.25" customHeight="1" spans="1:23">
      <c r="A244" s="117">
        <v>202001</v>
      </c>
      <c r="B244" s="29" t="s">
        <v>2740</v>
      </c>
      <c r="C244" s="118" t="s">
        <v>2761</v>
      </c>
      <c r="D244" s="119" t="s">
        <v>2762</v>
      </c>
      <c r="E244" s="37" t="s">
        <v>2765</v>
      </c>
      <c r="F244" s="48" t="s">
        <v>979</v>
      </c>
      <c r="G244" s="33">
        <f t="shared" si="88"/>
        <v>245</v>
      </c>
      <c r="H244" s="33">
        <v>245</v>
      </c>
      <c r="I244" s="33"/>
      <c r="J244" s="33"/>
      <c r="K244" s="33"/>
      <c r="L244" s="33"/>
      <c r="M244" s="54">
        <f t="shared" si="89"/>
        <v>0</v>
      </c>
      <c r="N244" s="54"/>
      <c r="O244" s="54"/>
      <c r="P244" s="54"/>
      <c r="Q244" s="68">
        <f t="shared" si="90"/>
        <v>0</v>
      </c>
      <c r="R244" s="68"/>
      <c r="S244" s="68"/>
      <c r="T244" s="68"/>
      <c r="U244" s="129">
        <v>100</v>
      </c>
      <c r="V244" s="33">
        <f t="shared" si="91"/>
        <v>145</v>
      </c>
      <c r="W244" s="130" t="s">
        <v>2283</v>
      </c>
    </row>
    <row r="245" s="4" customFormat="1" ht="26.25" customHeight="1" spans="1:23">
      <c r="A245" s="117">
        <v>202001</v>
      </c>
      <c r="B245" s="29" t="s">
        <v>2740</v>
      </c>
      <c r="C245" s="35" t="s">
        <v>2761</v>
      </c>
      <c r="D245" s="38" t="s">
        <v>2762</v>
      </c>
      <c r="E245" s="127" t="s">
        <v>2766</v>
      </c>
      <c r="F245" s="38" t="s">
        <v>2767</v>
      </c>
      <c r="G245" s="33">
        <f t="shared" si="88"/>
        <v>0</v>
      </c>
      <c r="H245" s="33"/>
      <c r="I245" s="33"/>
      <c r="J245" s="33"/>
      <c r="K245" s="33"/>
      <c r="L245" s="33"/>
      <c r="M245" s="54">
        <f t="shared" si="89"/>
        <v>0</v>
      </c>
      <c r="N245" s="54"/>
      <c r="O245" s="54"/>
      <c r="P245" s="54"/>
      <c r="Q245" s="68">
        <f t="shared" si="90"/>
        <v>9.17</v>
      </c>
      <c r="R245" s="68"/>
      <c r="S245" s="68">
        <v>9.17</v>
      </c>
      <c r="T245" s="68"/>
      <c r="U245" s="129"/>
      <c r="V245" s="68">
        <f t="shared" si="91"/>
        <v>9.17</v>
      </c>
      <c r="W245" s="71" t="s">
        <v>2768</v>
      </c>
    </row>
    <row r="246" s="4" customFormat="1" ht="26.25" customHeight="1" spans="1:23">
      <c r="A246" s="117">
        <v>202001</v>
      </c>
      <c r="B246" s="29" t="s">
        <v>2740</v>
      </c>
      <c r="C246" s="118" t="s">
        <v>2769</v>
      </c>
      <c r="D246" s="82" t="s">
        <v>2770</v>
      </c>
      <c r="E246" s="37" t="s">
        <v>2771</v>
      </c>
      <c r="F246" s="48" t="s">
        <v>2772</v>
      </c>
      <c r="G246" s="33">
        <f t="shared" si="88"/>
        <v>4000</v>
      </c>
      <c r="H246" s="33"/>
      <c r="I246" s="33"/>
      <c r="J246" s="33">
        <v>4000</v>
      </c>
      <c r="K246" s="33"/>
      <c r="L246" s="33"/>
      <c r="M246" s="54">
        <f t="shared" si="89"/>
        <v>-3657.0015</v>
      </c>
      <c r="N246" s="54">
        <v>-4000</v>
      </c>
      <c r="O246" s="54">
        <v>342.9985</v>
      </c>
      <c r="P246" s="54"/>
      <c r="Q246" s="68">
        <f t="shared" si="90"/>
        <v>0</v>
      </c>
      <c r="R246" s="68"/>
      <c r="S246" s="68"/>
      <c r="T246" s="68"/>
      <c r="U246" s="129"/>
      <c r="V246" s="54">
        <f t="shared" si="91"/>
        <v>342.9985</v>
      </c>
      <c r="W246" s="75" t="s">
        <v>663</v>
      </c>
    </row>
    <row r="247" s="4" customFormat="1" ht="26.25" customHeight="1" spans="1:23">
      <c r="A247" s="117">
        <v>202001</v>
      </c>
      <c r="B247" s="29" t="s">
        <v>2740</v>
      </c>
      <c r="C247" s="118" t="s">
        <v>2769</v>
      </c>
      <c r="D247" s="82" t="s">
        <v>2770</v>
      </c>
      <c r="E247" s="37" t="s">
        <v>2773</v>
      </c>
      <c r="F247" s="48" t="s">
        <v>2774</v>
      </c>
      <c r="G247" s="33">
        <f t="shared" si="88"/>
        <v>30</v>
      </c>
      <c r="H247" s="33"/>
      <c r="I247" s="33"/>
      <c r="J247" s="33">
        <v>30</v>
      </c>
      <c r="K247" s="33"/>
      <c r="L247" s="33"/>
      <c r="M247" s="54">
        <f t="shared" si="89"/>
        <v>-30</v>
      </c>
      <c r="N247" s="54">
        <v>-30</v>
      </c>
      <c r="O247" s="54"/>
      <c r="P247" s="54"/>
      <c r="Q247" s="68">
        <f t="shared" si="90"/>
        <v>0</v>
      </c>
      <c r="R247" s="68"/>
      <c r="S247" s="68"/>
      <c r="T247" s="68"/>
      <c r="U247" s="129"/>
      <c r="V247" s="54">
        <f t="shared" si="91"/>
        <v>0</v>
      </c>
      <c r="W247" s="92" t="s">
        <v>2283</v>
      </c>
    </row>
    <row r="248" s="4" customFormat="1" ht="26.25" customHeight="1" spans="1:23">
      <c r="A248" s="117">
        <v>202001</v>
      </c>
      <c r="B248" s="29" t="s">
        <v>2740</v>
      </c>
      <c r="C248" s="118" t="s">
        <v>2775</v>
      </c>
      <c r="D248" s="82" t="s">
        <v>2776</v>
      </c>
      <c r="E248" s="37" t="s">
        <v>2777</v>
      </c>
      <c r="F248" s="48" t="s">
        <v>2778</v>
      </c>
      <c r="G248" s="33">
        <f t="shared" si="88"/>
        <v>185.7</v>
      </c>
      <c r="H248" s="33"/>
      <c r="I248" s="33"/>
      <c r="J248" s="33">
        <v>185.7</v>
      </c>
      <c r="K248" s="33"/>
      <c r="L248" s="33"/>
      <c r="M248" s="54">
        <f t="shared" si="89"/>
        <v>-2.39999999999998</v>
      </c>
      <c r="N248" s="54">
        <v>-185.7</v>
      </c>
      <c r="O248" s="54">
        <v>183.3</v>
      </c>
      <c r="P248" s="54"/>
      <c r="Q248" s="68">
        <f t="shared" si="90"/>
        <v>0</v>
      </c>
      <c r="R248" s="68"/>
      <c r="S248" s="68"/>
      <c r="T248" s="68"/>
      <c r="U248" s="129"/>
      <c r="V248" s="54">
        <f t="shared" si="91"/>
        <v>183.3</v>
      </c>
      <c r="W248" s="92" t="s">
        <v>647</v>
      </c>
    </row>
    <row r="249" s="4" customFormat="1" ht="26.25" customHeight="1" spans="1:23">
      <c r="A249" s="117">
        <v>202001</v>
      </c>
      <c r="B249" s="29" t="s">
        <v>2740</v>
      </c>
      <c r="C249" s="118" t="s">
        <v>2779</v>
      </c>
      <c r="D249" s="82" t="s">
        <v>2780</v>
      </c>
      <c r="E249" s="37" t="s">
        <v>2771</v>
      </c>
      <c r="F249" s="32" t="s">
        <v>2772</v>
      </c>
      <c r="G249" s="33">
        <f t="shared" si="88"/>
        <v>0</v>
      </c>
      <c r="H249" s="33"/>
      <c r="I249" s="33"/>
      <c r="J249" s="33"/>
      <c r="K249" s="33"/>
      <c r="L249" s="33"/>
      <c r="M249" s="54">
        <f t="shared" si="89"/>
        <v>1931</v>
      </c>
      <c r="N249" s="54"/>
      <c r="O249" s="54">
        <v>1931</v>
      </c>
      <c r="P249" s="54"/>
      <c r="Q249" s="68">
        <f t="shared" si="90"/>
        <v>0</v>
      </c>
      <c r="R249" s="68"/>
      <c r="S249" s="68"/>
      <c r="T249" s="68"/>
      <c r="U249" s="129"/>
      <c r="V249" s="54">
        <f t="shared" si="91"/>
        <v>1931</v>
      </c>
      <c r="W249" s="92" t="s">
        <v>474</v>
      </c>
    </row>
    <row r="250" s="4" customFormat="1" ht="26.25" customHeight="1" spans="1:23">
      <c r="A250" s="117">
        <v>202001</v>
      </c>
      <c r="B250" s="29" t="s">
        <v>2740</v>
      </c>
      <c r="C250" s="118" t="s">
        <v>2779</v>
      </c>
      <c r="D250" s="82" t="s">
        <v>2780</v>
      </c>
      <c r="E250" s="37" t="s">
        <v>2771</v>
      </c>
      <c r="F250" s="48" t="s">
        <v>2772</v>
      </c>
      <c r="G250" s="33">
        <f t="shared" si="88"/>
        <v>0</v>
      </c>
      <c r="H250" s="33"/>
      <c r="I250" s="33"/>
      <c r="J250" s="33"/>
      <c r="K250" s="33"/>
      <c r="L250" s="33"/>
      <c r="M250" s="54">
        <f t="shared" si="89"/>
        <v>1304.0015</v>
      </c>
      <c r="N250" s="54"/>
      <c r="O250" s="54">
        <v>1304.0015</v>
      </c>
      <c r="P250" s="54"/>
      <c r="Q250" s="68">
        <f t="shared" si="90"/>
        <v>0</v>
      </c>
      <c r="R250" s="68"/>
      <c r="S250" s="68"/>
      <c r="T250" s="68"/>
      <c r="U250" s="129"/>
      <c r="V250" s="54">
        <f t="shared" si="91"/>
        <v>1304.0015</v>
      </c>
      <c r="W250" s="75" t="s">
        <v>663</v>
      </c>
    </row>
    <row r="251" s="4" customFormat="1" ht="26.25" customHeight="1" spans="1:23">
      <c r="A251" s="117">
        <v>202001</v>
      </c>
      <c r="B251" s="29" t="s">
        <v>2740</v>
      </c>
      <c r="C251" s="118" t="s">
        <v>2779</v>
      </c>
      <c r="D251" s="135" t="s">
        <v>2780</v>
      </c>
      <c r="E251" s="37" t="s">
        <v>2781</v>
      </c>
      <c r="F251" s="48" t="s">
        <v>2782</v>
      </c>
      <c r="G251" s="33">
        <f t="shared" si="88"/>
        <v>803.6</v>
      </c>
      <c r="H251" s="33">
        <v>803.6</v>
      </c>
      <c r="I251" s="33"/>
      <c r="J251" s="33"/>
      <c r="K251" s="33"/>
      <c r="L251" s="33"/>
      <c r="M251" s="54">
        <f t="shared" si="89"/>
        <v>0</v>
      </c>
      <c r="N251" s="54"/>
      <c r="O251" s="54"/>
      <c r="P251" s="54"/>
      <c r="Q251" s="68">
        <f t="shared" si="90"/>
        <v>0</v>
      </c>
      <c r="R251" s="68"/>
      <c r="S251" s="68"/>
      <c r="T251" s="68"/>
      <c r="U251" s="129"/>
      <c r="V251" s="33">
        <f t="shared" si="91"/>
        <v>803.6</v>
      </c>
      <c r="W251" s="130" t="s">
        <v>2283</v>
      </c>
    </row>
    <row r="252" s="4" customFormat="1" ht="26.25" customHeight="1" spans="1:23">
      <c r="A252" s="117">
        <v>202001</v>
      </c>
      <c r="B252" s="29" t="s">
        <v>2740</v>
      </c>
      <c r="C252" s="118" t="s">
        <v>2783</v>
      </c>
      <c r="D252" s="135" t="s">
        <v>2784</v>
      </c>
      <c r="E252" s="37" t="s">
        <v>2785</v>
      </c>
      <c r="F252" s="48" t="s">
        <v>2786</v>
      </c>
      <c r="G252" s="33">
        <f t="shared" si="88"/>
        <v>15</v>
      </c>
      <c r="H252" s="33">
        <v>15</v>
      </c>
      <c r="I252" s="33"/>
      <c r="J252" s="33"/>
      <c r="K252" s="33">
        <v>-9.5</v>
      </c>
      <c r="L252" s="33"/>
      <c r="M252" s="54">
        <f t="shared" si="89"/>
        <v>0</v>
      </c>
      <c r="N252" s="54"/>
      <c r="O252" s="54"/>
      <c r="P252" s="54"/>
      <c r="Q252" s="68">
        <f t="shared" si="90"/>
        <v>0</v>
      </c>
      <c r="R252" s="68"/>
      <c r="S252" s="68"/>
      <c r="T252" s="68"/>
      <c r="U252" s="129"/>
      <c r="V252" s="33">
        <f t="shared" si="91"/>
        <v>5.5</v>
      </c>
      <c r="W252" s="130" t="s">
        <v>2283</v>
      </c>
    </row>
    <row r="253" s="4" customFormat="1" ht="26.25" customHeight="1" spans="1:23">
      <c r="A253" s="117">
        <v>202001</v>
      </c>
      <c r="B253" s="29" t="s">
        <v>2740</v>
      </c>
      <c r="C253" s="49" t="s">
        <v>2787</v>
      </c>
      <c r="D253" s="50" t="s">
        <v>2788</v>
      </c>
      <c r="E253" s="37" t="s">
        <v>2789</v>
      </c>
      <c r="F253" s="48" t="s">
        <v>2790</v>
      </c>
      <c r="G253" s="33">
        <f t="shared" si="88"/>
        <v>0</v>
      </c>
      <c r="H253" s="33"/>
      <c r="I253" s="33"/>
      <c r="J253" s="33"/>
      <c r="K253" s="33"/>
      <c r="L253" s="33"/>
      <c r="M253" s="54">
        <f t="shared" si="89"/>
        <v>45</v>
      </c>
      <c r="N253" s="54"/>
      <c r="O253" s="54">
        <v>45</v>
      </c>
      <c r="P253" s="54"/>
      <c r="Q253" s="68">
        <f t="shared" si="90"/>
        <v>0</v>
      </c>
      <c r="R253" s="68"/>
      <c r="S253" s="68"/>
      <c r="T253" s="68"/>
      <c r="U253" s="129"/>
      <c r="V253" s="54">
        <f t="shared" si="91"/>
        <v>45</v>
      </c>
      <c r="W253" s="92" t="s">
        <v>694</v>
      </c>
    </row>
    <row r="254" s="4" customFormat="1" ht="26.25" customHeight="1" spans="1:23">
      <c r="A254" s="117">
        <v>202001</v>
      </c>
      <c r="B254" s="29" t="s">
        <v>2740</v>
      </c>
      <c r="C254" s="118" t="s">
        <v>2791</v>
      </c>
      <c r="D254" s="82" t="s">
        <v>2792</v>
      </c>
      <c r="E254" s="37" t="s">
        <v>2793</v>
      </c>
      <c r="F254" s="48" t="s">
        <v>2794</v>
      </c>
      <c r="G254" s="33">
        <f t="shared" si="88"/>
        <v>600</v>
      </c>
      <c r="H254" s="33"/>
      <c r="I254" s="33"/>
      <c r="J254" s="33">
        <v>600</v>
      </c>
      <c r="K254" s="33"/>
      <c r="L254" s="33"/>
      <c r="M254" s="54">
        <f t="shared" si="89"/>
        <v>-600</v>
      </c>
      <c r="N254" s="54">
        <v>-600</v>
      </c>
      <c r="O254" s="54"/>
      <c r="P254" s="54"/>
      <c r="Q254" s="68">
        <f t="shared" si="90"/>
        <v>0</v>
      </c>
      <c r="R254" s="68"/>
      <c r="S254" s="68"/>
      <c r="T254" s="68"/>
      <c r="U254" s="129"/>
      <c r="V254" s="54">
        <f t="shared" si="91"/>
        <v>0</v>
      </c>
      <c r="W254" s="92" t="s">
        <v>2283</v>
      </c>
    </row>
    <row r="255" s="4" customFormat="1" ht="26.25" customHeight="1" spans="1:23">
      <c r="A255" s="117">
        <v>202001</v>
      </c>
      <c r="B255" s="29" t="s">
        <v>2740</v>
      </c>
      <c r="C255" s="35" t="s">
        <v>2669</v>
      </c>
      <c r="D255" s="76" t="s">
        <v>2670</v>
      </c>
      <c r="E255" s="127" t="s">
        <v>2795</v>
      </c>
      <c r="F255" s="35" t="s">
        <v>2796</v>
      </c>
      <c r="G255" s="33">
        <f t="shared" si="88"/>
        <v>0</v>
      </c>
      <c r="H255" s="33"/>
      <c r="I255" s="33"/>
      <c r="J255" s="33"/>
      <c r="K255" s="33"/>
      <c r="L255" s="33"/>
      <c r="M255" s="54">
        <f t="shared" si="89"/>
        <v>456</v>
      </c>
      <c r="N255" s="54"/>
      <c r="O255" s="54">
        <v>456</v>
      </c>
      <c r="P255" s="54"/>
      <c r="Q255" s="68">
        <f t="shared" si="90"/>
        <v>0</v>
      </c>
      <c r="R255" s="68"/>
      <c r="S255" s="68"/>
      <c r="T255" s="68"/>
      <c r="U255" s="129"/>
      <c r="V255" s="54">
        <f t="shared" si="91"/>
        <v>456</v>
      </c>
      <c r="W255" s="92" t="s">
        <v>602</v>
      </c>
    </row>
    <row r="256" s="4" customFormat="1" ht="26.25" customHeight="1" spans="1:23">
      <c r="A256" s="115">
        <v>203001</v>
      </c>
      <c r="B256" s="23" t="s">
        <v>2797</v>
      </c>
      <c r="C256" s="116"/>
      <c r="D256" s="116"/>
      <c r="E256" s="84"/>
      <c r="F256" s="26"/>
      <c r="G256" s="27">
        <f t="shared" ref="G256:V256" si="92">SUM(G257:G275)</f>
        <v>275.3</v>
      </c>
      <c r="H256" s="27">
        <f t="shared" si="92"/>
        <v>139.3</v>
      </c>
      <c r="I256" s="27">
        <f t="shared" si="92"/>
        <v>0</v>
      </c>
      <c r="J256" s="27">
        <f t="shared" si="92"/>
        <v>136</v>
      </c>
      <c r="K256" s="27">
        <f t="shared" si="92"/>
        <v>0.5</v>
      </c>
      <c r="L256" s="27">
        <f t="shared" si="92"/>
        <v>0</v>
      </c>
      <c r="M256" s="27">
        <f t="shared" si="92"/>
        <v>236.7</v>
      </c>
      <c r="N256" s="27">
        <f t="shared" si="92"/>
        <v>-136</v>
      </c>
      <c r="O256" s="27">
        <f t="shared" si="92"/>
        <v>372.7</v>
      </c>
      <c r="P256" s="27">
        <f t="shared" si="92"/>
        <v>0</v>
      </c>
      <c r="Q256" s="27">
        <f t="shared" si="92"/>
        <v>124.542306</v>
      </c>
      <c r="R256" s="27">
        <f t="shared" si="92"/>
        <v>0</v>
      </c>
      <c r="S256" s="27">
        <f t="shared" si="92"/>
        <v>124.542306</v>
      </c>
      <c r="T256" s="27">
        <f t="shared" si="92"/>
        <v>0</v>
      </c>
      <c r="U256" s="27">
        <f t="shared" si="92"/>
        <v>31.69</v>
      </c>
      <c r="V256" s="27">
        <f t="shared" si="92"/>
        <v>605.352306</v>
      </c>
      <c r="W256" s="69"/>
    </row>
    <row r="257" s="4" customFormat="1" ht="26.25" customHeight="1" spans="1:23">
      <c r="A257" s="117">
        <v>203001</v>
      </c>
      <c r="B257" s="29" t="s">
        <v>2798</v>
      </c>
      <c r="C257" s="118" t="s">
        <v>2799</v>
      </c>
      <c r="D257" s="119" t="s">
        <v>2083</v>
      </c>
      <c r="E257" s="30" t="s">
        <v>2800</v>
      </c>
      <c r="F257" s="32" t="s">
        <v>2801</v>
      </c>
      <c r="G257" s="33">
        <f t="shared" ref="G257:G275" si="93">SUM(H257:J257)</f>
        <v>17</v>
      </c>
      <c r="H257" s="33">
        <v>17</v>
      </c>
      <c r="I257" s="33"/>
      <c r="J257" s="33"/>
      <c r="K257" s="33"/>
      <c r="L257" s="33"/>
      <c r="M257" s="54">
        <f t="shared" ref="M257:M275" si="94">N257+O257-P257</f>
        <v>0</v>
      </c>
      <c r="N257" s="54"/>
      <c r="O257" s="54"/>
      <c r="P257" s="54"/>
      <c r="Q257" s="68">
        <f t="shared" ref="Q257:Q275" si="95">R257+S257-T257</f>
        <v>0</v>
      </c>
      <c r="R257" s="68"/>
      <c r="S257" s="68"/>
      <c r="T257" s="68"/>
      <c r="U257" s="129"/>
      <c r="V257" s="33">
        <f t="shared" ref="V257:V275" si="96">G257+K257+L257+M257+Q257-U257</f>
        <v>17</v>
      </c>
      <c r="W257" s="130" t="s">
        <v>2283</v>
      </c>
    </row>
    <row r="258" s="4" customFormat="1" ht="26.25" customHeight="1" spans="1:23">
      <c r="A258" s="117">
        <v>203001</v>
      </c>
      <c r="B258" s="29" t="s">
        <v>2798</v>
      </c>
      <c r="C258" s="118" t="s">
        <v>2799</v>
      </c>
      <c r="D258" s="119" t="s">
        <v>2083</v>
      </c>
      <c r="E258" s="121" t="s">
        <v>2802</v>
      </c>
      <c r="F258" s="35" t="s">
        <v>2317</v>
      </c>
      <c r="G258" s="33">
        <f t="shared" si="93"/>
        <v>0</v>
      </c>
      <c r="H258" s="33"/>
      <c r="I258" s="33"/>
      <c r="J258" s="33"/>
      <c r="K258" s="55">
        <v>0.5</v>
      </c>
      <c r="L258" s="33"/>
      <c r="M258" s="54">
        <f t="shared" si="94"/>
        <v>0</v>
      </c>
      <c r="N258" s="54"/>
      <c r="O258" s="54"/>
      <c r="P258" s="54"/>
      <c r="Q258" s="68">
        <f t="shared" si="95"/>
        <v>0</v>
      </c>
      <c r="R258" s="68"/>
      <c r="S258" s="68"/>
      <c r="T258" s="68"/>
      <c r="U258" s="129"/>
      <c r="V258" s="33">
        <f t="shared" si="96"/>
        <v>0.5</v>
      </c>
      <c r="W258" s="130" t="s">
        <v>2283</v>
      </c>
    </row>
    <row r="259" s="4" customFormat="1" ht="26.25" customHeight="1" spans="1:23">
      <c r="A259" s="117">
        <v>203001</v>
      </c>
      <c r="B259" s="29" t="s">
        <v>2798</v>
      </c>
      <c r="C259" s="35" t="s">
        <v>2803</v>
      </c>
      <c r="D259" s="38" t="s">
        <v>2804</v>
      </c>
      <c r="E259" s="127" t="s">
        <v>2805</v>
      </c>
      <c r="F259" s="38" t="s">
        <v>2806</v>
      </c>
      <c r="G259" s="33">
        <f t="shared" si="93"/>
        <v>0</v>
      </c>
      <c r="H259" s="33"/>
      <c r="I259" s="33"/>
      <c r="J259" s="33"/>
      <c r="K259" s="33"/>
      <c r="L259" s="33"/>
      <c r="M259" s="54">
        <f t="shared" si="94"/>
        <v>0</v>
      </c>
      <c r="N259" s="54"/>
      <c r="O259" s="54"/>
      <c r="P259" s="54"/>
      <c r="Q259" s="68">
        <f t="shared" si="95"/>
        <v>5</v>
      </c>
      <c r="R259" s="68"/>
      <c r="S259" s="68">
        <v>5</v>
      </c>
      <c r="T259" s="68"/>
      <c r="U259" s="129"/>
      <c r="V259" s="68">
        <f t="shared" si="96"/>
        <v>5</v>
      </c>
      <c r="W259" s="91" t="s">
        <v>2807</v>
      </c>
    </row>
    <row r="260" s="4" customFormat="1" ht="26.25" customHeight="1" spans="1:23">
      <c r="A260" s="117">
        <v>203001</v>
      </c>
      <c r="B260" s="29" t="s">
        <v>2798</v>
      </c>
      <c r="C260" s="35" t="s">
        <v>2803</v>
      </c>
      <c r="D260" s="38" t="s">
        <v>2804</v>
      </c>
      <c r="E260" s="127" t="s">
        <v>2808</v>
      </c>
      <c r="F260" s="38" t="s">
        <v>2809</v>
      </c>
      <c r="G260" s="33">
        <f t="shared" si="93"/>
        <v>0</v>
      </c>
      <c r="H260" s="33"/>
      <c r="I260" s="33"/>
      <c r="J260" s="33"/>
      <c r="K260" s="33"/>
      <c r="L260" s="33"/>
      <c r="M260" s="54">
        <f t="shared" si="94"/>
        <v>0</v>
      </c>
      <c r="N260" s="54"/>
      <c r="O260" s="54"/>
      <c r="P260" s="54"/>
      <c r="Q260" s="68">
        <f t="shared" si="95"/>
        <v>3</v>
      </c>
      <c r="R260" s="68"/>
      <c r="S260" s="68">
        <v>3</v>
      </c>
      <c r="T260" s="68"/>
      <c r="U260" s="129"/>
      <c r="V260" s="68">
        <f t="shared" si="96"/>
        <v>3</v>
      </c>
      <c r="W260" s="91" t="s">
        <v>2807</v>
      </c>
    </row>
    <row r="261" s="4" customFormat="1" ht="26.25" customHeight="1" spans="1:23">
      <c r="A261" s="117">
        <v>203001</v>
      </c>
      <c r="B261" s="29" t="s">
        <v>2798</v>
      </c>
      <c r="C261" s="35" t="s">
        <v>2803</v>
      </c>
      <c r="D261" s="38" t="s">
        <v>2804</v>
      </c>
      <c r="E261" s="127" t="s">
        <v>2810</v>
      </c>
      <c r="F261" s="38" t="s">
        <v>2811</v>
      </c>
      <c r="G261" s="33">
        <f t="shared" si="93"/>
        <v>0</v>
      </c>
      <c r="H261" s="33"/>
      <c r="I261" s="33"/>
      <c r="J261" s="33"/>
      <c r="K261" s="33"/>
      <c r="L261" s="33"/>
      <c r="M261" s="54">
        <f t="shared" si="94"/>
        <v>0</v>
      </c>
      <c r="N261" s="54"/>
      <c r="O261" s="54"/>
      <c r="P261" s="54"/>
      <c r="Q261" s="68">
        <f t="shared" si="95"/>
        <v>34.3637</v>
      </c>
      <c r="R261" s="68"/>
      <c r="S261" s="68">
        <v>34.3637</v>
      </c>
      <c r="T261" s="68"/>
      <c r="U261" s="129"/>
      <c r="V261" s="68">
        <f t="shared" si="96"/>
        <v>34.3637</v>
      </c>
      <c r="W261" s="91" t="s">
        <v>2812</v>
      </c>
    </row>
    <row r="262" s="4" customFormat="1" ht="26.25" customHeight="1" spans="1:23">
      <c r="A262" s="117">
        <v>203001</v>
      </c>
      <c r="B262" s="29" t="s">
        <v>2798</v>
      </c>
      <c r="C262" s="35" t="s">
        <v>2803</v>
      </c>
      <c r="D262" s="76" t="s">
        <v>2804</v>
      </c>
      <c r="E262" s="136" t="s">
        <v>2810</v>
      </c>
      <c r="F262" s="35" t="s">
        <v>2811</v>
      </c>
      <c r="G262" s="33">
        <f t="shared" si="93"/>
        <v>0</v>
      </c>
      <c r="H262" s="33"/>
      <c r="I262" s="33"/>
      <c r="J262" s="33"/>
      <c r="K262" s="33"/>
      <c r="L262" s="33"/>
      <c r="M262" s="54">
        <f t="shared" si="94"/>
        <v>88</v>
      </c>
      <c r="N262" s="54"/>
      <c r="O262" s="54">
        <v>88</v>
      </c>
      <c r="P262" s="54"/>
      <c r="Q262" s="68">
        <f t="shared" si="95"/>
        <v>0</v>
      </c>
      <c r="R262" s="68"/>
      <c r="S262" s="68"/>
      <c r="T262" s="68"/>
      <c r="U262" s="129"/>
      <c r="V262" s="54">
        <f t="shared" si="96"/>
        <v>88</v>
      </c>
      <c r="W262" s="92" t="s">
        <v>610</v>
      </c>
    </row>
    <row r="263" s="4" customFormat="1" ht="26.25" customHeight="1" spans="1:23">
      <c r="A263" s="117">
        <v>203001</v>
      </c>
      <c r="B263" s="29" t="s">
        <v>2798</v>
      </c>
      <c r="C263" s="35" t="s">
        <v>2803</v>
      </c>
      <c r="D263" s="76" t="s">
        <v>2804</v>
      </c>
      <c r="E263" s="136" t="s">
        <v>2800</v>
      </c>
      <c r="F263" s="35" t="s">
        <v>2801</v>
      </c>
      <c r="G263" s="33">
        <f t="shared" si="93"/>
        <v>0</v>
      </c>
      <c r="H263" s="33"/>
      <c r="I263" s="33"/>
      <c r="J263" s="33"/>
      <c r="K263" s="33"/>
      <c r="L263" s="33"/>
      <c r="M263" s="54">
        <f t="shared" si="94"/>
        <v>1</v>
      </c>
      <c r="N263" s="54"/>
      <c r="O263" s="54">
        <v>1</v>
      </c>
      <c r="P263" s="54"/>
      <c r="Q263" s="68">
        <f t="shared" si="95"/>
        <v>0</v>
      </c>
      <c r="R263" s="68"/>
      <c r="S263" s="68"/>
      <c r="T263" s="68"/>
      <c r="U263" s="129"/>
      <c r="V263" s="54">
        <f t="shared" si="96"/>
        <v>1</v>
      </c>
      <c r="W263" s="92" t="s">
        <v>669</v>
      </c>
    </row>
    <row r="264" s="4" customFormat="1" ht="26.25" customHeight="1" spans="1:23">
      <c r="A264" s="117">
        <v>203001</v>
      </c>
      <c r="B264" s="29" t="s">
        <v>2798</v>
      </c>
      <c r="C264" s="35" t="s">
        <v>2803</v>
      </c>
      <c r="D264" s="76" t="s">
        <v>2804</v>
      </c>
      <c r="E264" s="136" t="s">
        <v>2813</v>
      </c>
      <c r="F264" s="35" t="s">
        <v>982</v>
      </c>
      <c r="G264" s="33">
        <f t="shared" si="93"/>
        <v>0</v>
      </c>
      <c r="H264" s="33"/>
      <c r="I264" s="33"/>
      <c r="J264" s="33"/>
      <c r="K264" s="33"/>
      <c r="L264" s="33"/>
      <c r="M264" s="54">
        <f t="shared" si="94"/>
        <v>16</v>
      </c>
      <c r="N264" s="54"/>
      <c r="O264" s="54">
        <v>16</v>
      </c>
      <c r="P264" s="54"/>
      <c r="Q264" s="68">
        <f t="shared" si="95"/>
        <v>0</v>
      </c>
      <c r="R264" s="68"/>
      <c r="S264" s="68"/>
      <c r="T264" s="68"/>
      <c r="U264" s="129"/>
      <c r="V264" s="54">
        <f t="shared" si="96"/>
        <v>16</v>
      </c>
      <c r="W264" s="92" t="s">
        <v>692</v>
      </c>
    </row>
    <row r="265" s="4" customFormat="1" ht="26.25" customHeight="1" spans="1:23">
      <c r="A265" s="117">
        <v>203001</v>
      </c>
      <c r="B265" s="29" t="s">
        <v>2798</v>
      </c>
      <c r="C265" s="49" t="s">
        <v>2814</v>
      </c>
      <c r="D265" s="88" t="s">
        <v>2815</v>
      </c>
      <c r="E265" s="126" t="s">
        <v>2816</v>
      </c>
      <c r="F265" s="38" t="s">
        <v>2815</v>
      </c>
      <c r="G265" s="33">
        <f t="shared" si="93"/>
        <v>0</v>
      </c>
      <c r="H265" s="33"/>
      <c r="I265" s="33"/>
      <c r="J265" s="33"/>
      <c r="K265" s="33"/>
      <c r="L265" s="33"/>
      <c r="M265" s="54">
        <f t="shared" si="94"/>
        <v>0</v>
      </c>
      <c r="N265" s="54"/>
      <c r="O265" s="54"/>
      <c r="P265" s="54"/>
      <c r="Q265" s="68">
        <f t="shared" si="95"/>
        <v>0.41</v>
      </c>
      <c r="R265" s="68"/>
      <c r="S265" s="68">
        <v>0.41</v>
      </c>
      <c r="T265" s="68"/>
      <c r="U265" s="129"/>
      <c r="V265" s="68">
        <f t="shared" si="96"/>
        <v>0.41</v>
      </c>
      <c r="W265" s="91" t="s">
        <v>2812</v>
      </c>
    </row>
    <row r="266" s="4" customFormat="1" ht="26.25" customHeight="1" spans="1:23">
      <c r="A266" s="117">
        <v>203001</v>
      </c>
      <c r="B266" s="29" t="s">
        <v>2798</v>
      </c>
      <c r="C266" s="118" t="s">
        <v>2814</v>
      </c>
      <c r="D266" s="119" t="s">
        <v>2815</v>
      </c>
      <c r="E266" s="30" t="s">
        <v>2817</v>
      </c>
      <c r="F266" s="32" t="s">
        <v>981</v>
      </c>
      <c r="G266" s="33">
        <f t="shared" si="93"/>
        <v>22.3</v>
      </c>
      <c r="H266" s="33">
        <v>22.3</v>
      </c>
      <c r="I266" s="33"/>
      <c r="J266" s="33"/>
      <c r="K266" s="33"/>
      <c r="L266" s="33"/>
      <c r="M266" s="54">
        <f t="shared" si="94"/>
        <v>0</v>
      </c>
      <c r="N266" s="54"/>
      <c r="O266" s="54"/>
      <c r="P266" s="54"/>
      <c r="Q266" s="68">
        <f t="shared" si="95"/>
        <v>0</v>
      </c>
      <c r="R266" s="68"/>
      <c r="S266" s="68"/>
      <c r="T266" s="68"/>
      <c r="U266" s="129">
        <v>6.69</v>
      </c>
      <c r="V266" s="33">
        <f t="shared" si="96"/>
        <v>15.61</v>
      </c>
      <c r="W266" s="130" t="s">
        <v>2283</v>
      </c>
    </row>
    <row r="267" s="4" customFormat="1" ht="26.25" customHeight="1" spans="1:23">
      <c r="A267" s="117">
        <v>203001</v>
      </c>
      <c r="B267" s="29" t="s">
        <v>2798</v>
      </c>
      <c r="C267" s="118" t="s">
        <v>2814</v>
      </c>
      <c r="D267" s="86" t="s">
        <v>2815</v>
      </c>
      <c r="E267" s="121" t="s">
        <v>2800</v>
      </c>
      <c r="F267" s="38" t="s">
        <v>2801</v>
      </c>
      <c r="G267" s="33">
        <f t="shared" si="93"/>
        <v>0</v>
      </c>
      <c r="H267" s="33"/>
      <c r="I267" s="33"/>
      <c r="J267" s="33"/>
      <c r="K267" s="33"/>
      <c r="L267" s="33"/>
      <c r="M267" s="54">
        <f t="shared" si="94"/>
        <v>0</v>
      </c>
      <c r="N267" s="54"/>
      <c r="O267" s="54"/>
      <c r="P267" s="54"/>
      <c r="Q267" s="68">
        <f t="shared" si="95"/>
        <v>4.660688</v>
      </c>
      <c r="R267" s="68"/>
      <c r="S267" s="68">
        <v>4.660688</v>
      </c>
      <c r="T267" s="68"/>
      <c r="U267" s="129"/>
      <c r="V267" s="68">
        <f t="shared" si="96"/>
        <v>4.660688</v>
      </c>
      <c r="W267" s="91" t="s">
        <v>2818</v>
      </c>
    </row>
    <row r="268" s="4" customFormat="1" ht="26.25" customHeight="1" spans="1:23">
      <c r="A268" s="117">
        <v>203001</v>
      </c>
      <c r="B268" s="29" t="s">
        <v>2798</v>
      </c>
      <c r="C268" s="118" t="s">
        <v>2814</v>
      </c>
      <c r="D268" s="82" t="s">
        <v>2815</v>
      </c>
      <c r="E268" s="121" t="s">
        <v>2800</v>
      </c>
      <c r="F268" s="35" t="s">
        <v>2801</v>
      </c>
      <c r="G268" s="33">
        <f t="shared" si="93"/>
        <v>0</v>
      </c>
      <c r="H268" s="33"/>
      <c r="I268" s="33"/>
      <c r="J268" s="33"/>
      <c r="K268" s="33"/>
      <c r="L268" s="33"/>
      <c r="M268" s="54">
        <f t="shared" si="94"/>
        <v>36.4</v>
      </c>
      <c r="N268" s="54"/>
      <c r="O268" s="54">
        <v>36.4</v>
      </c>
      <c r="P268" s="54"/>
      <c r="Q268" s="68">
        <f t="shared" si="95"/>
        <v>0</v>
      </c>
      <c r="R268" s="68"/>
      <c r="S268" s="68"/>
      <c r="T268" s="68"/>
      <c r="U268" s="129"/>
      <c r="V268" s="54">
        <f t="shared" si="96"/>
        <v>36.4</v>
      </c>
      <c r="W268" s="92" t="s">
        <v>500</v>
      </c>
    </row>
    <row r="269" s="4" customFormat="1" ht="26.25" customHeight="1" spans="1:23">
      <c r="A269" s="117">
        <v>203001</v>
      </c>
      <c r="B269" s="29" t="s">
        <v>2798</v>
      </c>
      <c r="C269" s="118" t="s">
        <v>2814</v>
      </c>
      <c r="D269" s="86" t="s">
        <v>2815</v>
      </c>
      <c r="E269" s="121" t="s">
        <v>2819</v>
      </c>
      <c r="F269" s="38" t="s">
        <v>2820</v>
      </c>
      <c r="G269" s="33">
        <f t="shared" si="93"/>
        <v>0</v>
      </c>
      <c r="H269" s="33"/>
      <c r="I269" s="33"/>
      <c r="J269" s="33"/>
      <c r="K269" s="33"/>
      <c r="L269" s="33"/>
      <c r="M269" s="54">
        <f t="shared" si="94"/>
        <v>0</v>
      </c>
      <c r="N269" s="54"/>
      <c r="O269" s="54"/>
      <c r="P269" s="54"/>
      <c r="Q269" s="68">
        <f t="shared" si="95"/>
        <v>12.491305</v>
      </c>
      <c r="R269" s="68"/>
      <c r="S269" s="68">
        <v>12.491305</v>
      </c>
      <c r="T269" s="68"/>
      <c r="U269" s="129"/>
      <c r="V269" s="68">
        <f t="shared" si="96"/>
        <v>12.491305</v>
      </c>
      <c r="W269" s="91" t="s">
        <v>2807</v>
      </c>
    </row>
    <row r="270" s="4" customFormat="1" ht="26.25" customHeight="1" spans="1:23">
      <c r="A270" s="117">
        <v>203001</v>
      </c>
      <c r="B270" s="29" t="s">
        <v>2798</v>
      </c>
      <c r="C270" s="118" t="s">
        <v>2814</v>
      </c>
      <c r="D270" s="86" t="s">
        <v>2815</v>
      </c>
      <c r="E270" s="121" t="s">
        <v>2821</v>
      </c>
      <c r="F270" s="38" t="s">
        <v>2822</v>
      </c>
      <c r="G270" s="33">
        <f t="shared" si="93"/>
        <v>0</v>
      </c>
      <c r="H270" s="33"/>
      <c r="I270" s="33"/>
      <c r="J270" s="33"/>
      <c r="K270" s="33"/>
      <c r="L270" s="33"/>
      <c r="M270" s="54">
        <f t="shared" si="94"/>
        <v>0</v>
      </c>
      <c r="N270" s="54"/>
      <c r="O270" s="54"/>
      <c r="P270" s="54"/>
      <c r="Q270" s="68">
        <f t="shared" si="95"/>
        <v>44.366613</v>
      </c>
      <c r="R270" s="68"/>
      <c r="S270" s="68">
        <v>44.366613</v>
      </c>
      <c r="T270" s="68"/>
      <c r="U270" s="129"/>
      <c r="V270" s="68">
        <f t="shared" si="96"/>
        <v>44.366613</v>
      </c>
      <c r="W270" s="71" t="s">
        <v>2823</v>
      </c>
    </row>
    <row r="271" s="4" customFormat="1" ht="26.25" customHeight="1" spans="1:23">
      <c r="A271" s="117">
        <v>203001</v>
      </c>
      <c r="B271" s="29" t="s">
        <v>2798</v>
      </c>
      <c r="C271" s="118" t="s">
        <v>2814</v>
      </c>
      <c r="D271" s="86" t="s">
        <v>2815</v>
      </c>
      <c r="E271" s="121" t="s">
        <v>2824</v>
      </c>
      <c r="F271" s="38" t="s">
        <v>2825</v>
      </c>
      <c r="G271" s="33">
        <f t="shared" si="93"/>
        <v>0</v>
      </c>
      <c r="H271" s="33"/>
      <c r="I271" s="33"/>
      <c r="J271" s="33"/>
      <c r="K271" s="33"/>
      <c r="L271" s="33"/>
      <c r="M271" s="54">
        <f t="shared" si="94"/>
        <v>0</v>
      </c>
      <c r="N271" s="54"/>
      <c r="O271" s="54"/>
      <c r="P271" s="54"/>
      <c r="Q271" s="68">
        <f t="shared" si="95"/>
        <v>20.25</v>
      </c>
      <c r="R271" s="68"/>
      <c r="S271" s="68">
        <v>20.25</v>
      </c>
      <c r="T271" s="68"/>
      <c r="U271" s="129"/>
      <c r="V271" s="68">
        <f t="shared" si="96"/>
        <v>20.25</v>
      </c>
      <c r="W271" s="91" t="s">
        <v>2807</v>
      </c>
    </row>
    <row r="272" s="4" customFormat="1" ht="26.25" customHeight="1" spans="1:23">
      <c r="A272" s="117">
        <v>203001</v>
      </c>
      <c r="B272" s="29" t="s">
        <v>2798</v>
      </c>
      <c r="C272" s="118" t="s">
        <v>2814</v>
      </c>
      <c r="D272" s="119" t="s">
        <v>2815</v>
      </c>
      <c r="E272" s="37" t="s">
        <v>2813</v>
      </c>
      <c r="F272" s="32" t="s">
        <v>982</v>
      </c>
      <c r="G272" s="33">
        <f t="shared" si="93"/>
        <v>90</v>
      </c>
      <c r="H272" s="33">
        <v>90</v>
      </c>
      <c r="I272" s="33"/>
      <c r="J272" s="33"/>
      <c r="K272" s="33"/>
      <c r="L272" s="33"/>
      <c r="M272" s="54">
        <f t="shared" si="94"/>
        <v>0</v>
      </c>
      <c r="N272" s="54"/>
      <c r="O272" s="54"/>
      <c r="P272" s="54"/>
      <c r="Q272" s="68">
        <f t="shared" si="95"/>
        <v>0</v>
      </c>
      <c r="R272" s="68"/>
      <c r="S272" s="68"/>
      <c r="T272" s="68"/>
      <c r="U272" s="129">
        <v>25</v>
      </c>
      <c r="V272" s="33">
        <f t="shared" si="96"/>
        <v>65</v>
      </c>
      <c r="W272" s="130" t="s">
        <v>2283</v>
      </c>
    </row>
    <row r="273" s="4" customFormat="1" ht="26.25" customHeight="1" spans="1:23">
      <c r="A273" s="117">
        <v>203001</v>
      </c>
      <c r="B273" s="29" t="s">
        <v>2798</v>
      </c>
      <c r="C273" s="118" t="s">
        <v>2814</v>
      </c>
      <c r="D273" s="82" t="s">
        <v>2815</v>
      </c>
      <c r="E273" s="37" t="s">
        <v>2826</v>
      </c>
      <c r="F273" s="32" t="s">
        <v>2827</v>
      </c>
      <c r="G273" s="33">
        <f t="shared" si="93"/>
        <v>136</v>
      </c>
      <c r="H273" s="33"/>
      <c r="I273" s="33"/>
      <c r="J273" s="33">
        <v>136</v>
      </c>
      <c r="K273" s="33"/>
      <c r="L273" s="33"/>
      <c r="M273" s="54">
        <f t="shared" si="94"/>
        <v>82</v>
      </c>
      <c r="N273" s="54">
        <v>-136</v>
      </c>
      <c r="O273" s="54">
        <v>218</v>
      </c>
      <c r="P273" s="54"/>
      <c r="Q273" s="68">
        <f t="shared" si="95"/>
        <v>0</v>
      </c>
      <c r="R273" s="68"/>
      <c r="S273" s="68"/>
      <c r="T273" s="68"/>
      <c r="U273" s="129"/>
      <c r="V273" s="54">
        <f t="shared" si="96"/>
        <v>218</v>
      </c>
      <c r="W273" s="92" t="s">
        <v>562</v>
      </c>
    </row>
    <row r="274" s="4" customFormat="1" ht="26.25" customHeight="1" spans="1:23">
      <c r="A274" s="117">
        <v>203001</v>
      </c>
      <c r="B274" s="29" t="s">
        <v>2798</v>
      </c>
      <c r="C274" s="118" t="s">
        <v>2814</v>
      </c>
      <c r="D274" s="82" t="s">
        <v>2815</v>
      </c>
      <c r="E274" s="37" t="s">
        <v>2816</v>
      </c>
      <c r="F274" s="32" t="s">
        <v>2815</v>
      </c>
      <c r="G274" s="33">
        <f t="shared" si="93"/>
        <v>0</v>
      </c>
      <c r="H274" s="33"/>
      <c r="I274" s="33"/>
      <c r="J274" s="33"/>
      <c r="K274" s="33"/>
      <c r="L274" s="33"/>
      <c r="M274" s="54">
        <f t="shared" si="94"/>
        <v>13.3</v>
      </c>
      <c r="N274" s="54"/>
      <c r="O274" s="54">
        <v>13.3</v>
      </c>
      <c r="P274" s="54"/>
      <c r="Q274" s="68">
        <f t="shared" si="95"/>
        <v>0</v>
      </c>
      <c r="R274" s="68"/>
      <c r="S274" s="68"/>
      <c r="T274" s="68"/>
      <c r="U274" s="129"/>
      <c r="V274" s="54">
        <f t="shared" si="96"/>
        <v>13.3</v>
      </c>
      <c r="W274" s="92" t="s">
        <v>692</v>
      </c>
    </row>
    <row r="275" s="4" customFormat="1" ht="26.25" customHeight="1" spans="1:23">
      <c r="A275" s="117">
        <v>203001</v>
      </c>
      <c r="B275" s="29" t="s">
        <v>2798</v>
      </c>
      <c r="C275" s="118" t="s">
        <v>2814</v>
      </c>
      <c r="D275" s="29" t="s">
        <v>2815</v>
      </c>
      <c r="E275" s="30" t="s">
        <v>2828</v>
      </c>
      <c r="F275" s="32" t="s">
        <v>2829</v>
      </c>
      <c r="G275" s="33">
        <f t="shared" si="93"/>
        <v>10</v>
      </c>
      <c r="H275" s="33">
        <v>10</v>
      </c>
      <c r="I275" s="33"/>
      <c r="J275" s="33"/>
      <c r="K275" s="33"/>
      <c r="L275" s="33"/>
      <c r="M275" s="54">
        <f t="shared" si="94"/>
        <v>0</v>
      </c>
      <c r="N275" s="54"/>
      <c r="O275" s="54"/>
      <c r="P275" s="54"/>
      <c r="Q275" s="68">
        <f t="shared" si="95"/>
        <v>0</v>
      </c>
      <c r="R275" s="68"/>
      <c r="S275" s="68"/>
      <c r="T275" s="68"/>
      <c r="U275" s="129"/>
      <c r="V275" s="33">
        <f t="shared" si="96"/>
        <v>10</v>
      </c>
      <c r="W275" s="130" t="s">
        <v>2283</v>
      </c>
    </row>
    <row r="276" s="4" customFormat="1" ht="26.25" customHeight="1" spans="1:23">
      <c r="A276" s="115">
        <v>204001</v>
      </c>
      <c r="B276" s="23" t="s">
        <v>2830</v>
      </c>
      <c r="C276" s="116"/>
      <c r="D276" s="116"/>
      <c r="E276" s="84"/>
      <c r="F276" s="26"/>
      <c r="G276" s="27">
        <f t="shared" ref="G276:V276" si="97">SUM(G277:G300)</f>
        <v>1164.4</v>
      </c>
      <c r="H276" s="27">
        <f t="shared" si="97"/>
        <v>514.4</v>
      </c>
      <c r="I276" s="27">
        <f t="shared" si="97"/>
        <v>0</v>
      </c>
      <c r="J276" s="27">
        <f t="shared" si="97"/>
        <v>650</v>
      </c>
      <c r="K276" s="27">
        <f t="shared" si="97"/>
        <v>1</v>
      </c>
      <c r="L276" s="27">
        <f t="shared" si="97"/>
        <v>0</v>
      </c>
      <c r="M276" s="27">
        <f t="shared" si="97"/>
        <v>22</v>
      </c>
      <c r="N276" s="27">
        <f t="shared" si="97"/>
        <v>-650</v>
      </c>
      <c r="O276" s="27">
        <f t="shared" si="97"/>
        <v>672</v>
      </c>
      <c r="P276" s="27">
        <f t="shared" si="97"/>
        <v>0</v>
      </c>
      <c r="Q276" s="27">
        <f t="shared" si="97"/>
        <v>194.336</v>
      </c>
      <c r="R276" s="27">
        <f t="shared" si="97"/>
        <v>0</v>
      </c>
      <c r="S276" s="27">
        <f t="shared" si="97"/>
        <v>194.336</v>
      </c>
      <c r="T276" s="27">
        <f t="shared" si="97"/>
        <v>0</v>
      </c>
      <c r="U276" s="27">
        <f t="shared" si="97"/>
        <v>113</v>
      </c>
      <c r="V276" s="27">
        <f t="shared" si="97"/>
        <v>1268.736</v>
      </c>
      <c r="W276" s="69"/>
    </row>
    <row r="277" s="4" customFormat="1" ht="26.25" customHeight="1" spans="1:23">
      <c r="A277" s="117">
        <v>204001</v>
      </c>
      <c r="B277" s="29" t="s">
        <v>2831</v>
      </c>
      <c r="C277" s="118" t="s">
        <v>2832</v>
      </c>
      <c r="D277" s="135" t="s">
        <v>2833</v>
      </c>
      <c r="E277" s="37" t="s">
        <v>2834</v>
      </c>
      <c r="F277" s="48" t="s">
        <v>984</v>
      </c>
      <c r="G277" s="33">
        <f t="shared" ref="G277:G300" si="98">SUM(H277:J277)</f>
        <v>160</v>
      </c>
      <c r="H277" s="33">
        <v>160</v>
      </c>
      <c r="I277" s="33"/>
      <c r="J277" s="33"/>
      <c r="K277" s="33"/>
      <c r="L277" s="33"/>
      <c r="M277" s="54">
        <f t="shared" ref="M277:M300" si="99">N277+O277-P277</f>
        <v>0</v>
      </c>
      <c r="N277" s="54"/>
      <c r="O277" s="54"/>
      <c r="P277" s="54"/>
      <c r="Q277" s="68">
        <f t="shared" ref="Q277:Q300" si="100">R277+S277-T277</f>
        <v>0</v>
      </c>
      <c r="R277" s="68"/>
      <c r="S277" s="68"/>
      <c r="T277" s="68"/>
      <c r="U277" s="129">
        <v>30</v>
      </c>
      <c r="V277" s="33">
        <f t="shared" ref="V277:V300" si="101">G277+K277+L277+M277+Q277-U277</f>
        <v>130</v>
      </c>
      <c r="W277" s="130" t="s">
        <v>2283</v>
      </c>
    </row>
    <row r="278" s="4" customFormat="1" ht="26.25" customHeight="1" spans="1:23">
      <c r="A278" s="117">
        <v>204001</v>
      </c>
      <c r="B278" s="29" t="s">
        <v>2831</v>
      </c>
      <c r="C278" s="35" t="s">
        <v>2835</v>
      </c>
      <c r="D278" s="38" t="s">
        <v>2836</v>
      </c>
      <c r="E278" s="127" t="s">
        <v>2837</v>
      </c>
      <c r="F278" s="38" t="s">
        <v>2836</v>
      </c>
      <c r="G278" s="33">
        <f t="shared" si="98"/>
        <v>0</v>
      </c>
      <c r="H278" s="33"/>
      <c r="I278" s="33"/>
      <c r="J278" s="33"/>
      <c r="K278" s="33"/>
      <c r="L278" s="33"/>
      <c r="M278" s="54">
        <f t="shared" si="99"/>
        <v>0</v>
      </c>
      <c r="N278" s="54"/>
      <c r="O278" s="54"/>
      <c r="P278" s="54"/>
      <c r="Q278" s="68">
        <f t="shared" si="100"/>
        <v>51</v>
      </c>
      <c r="R278" s="68"/>
      <c r="S278" s="68">
        <v>51</v>
      </c>
      <c r="T278" s="68"/>
      <c r="U278" s="129"/>
      <c r="V278" s="68">
        <f t="shared" si="101"/>
        <v>51</v>
      </c>
      <c r="W278" s="91" t="s">
        <v>2838</v>
      </c>
    </row>
    <row r="279" s="4" customFormat="1" ht="26.25" customHeight="1" spans="1:23">
      <c r="A279" s="117">
        <v>204001</v>
      </c>
      <c r="B279" s="29" t="s">
        <v>2831</v>
      </c>
      <c r="C279" s="35" t="s">
        <v>2835</v>
      </c>
      <c r="D279" s="38" t="s">
        <v>2836</v>
      </c>
      <c r="E279" s="127" t="s">
        <v>2834</v>
      </c>
      <c r="F279" s="38" t="s">
        <v>984</v>
      </c>
      <c r="G279" s="33">
        <f t="shared" si="98"/>
        <v>0</v>
      </c>
      <c r="H279" s="33"/>
      <c r="I279" s="33"/>
      <c r="J279" s="33"/>
      <c r="K279" s="33"/>
      <c r="L279" s="33"/>
      <c r="M279" s="54">
        <f t="shared" si="99"/>
        <v>0</v>
      </c>
      <c r="N279" s="54"/>
      <c r="O279" s="54"/>
      <c r="P279" s="54"/>
      <c r="Q279" s="68">
        <f t="shared" si="100"/>
        <v>42.7532</v>
      </c>
      <c r="R279" s="68"/>
      <c r="S279" s="68">
        <v>42.7532</v>
      </c>
      <c r="T279" s="68"/>
      <c r="U279" s="129"/>
      <c r="V279" s="68">
        <f t="shared" si="101"/>
        <v>42.7532</v>
      </c>
      <c r="W279" s="91" t="s">
        <v>2839</v>
      </c>
    </row>
    <row r="280" s="4" customFormat="1" ht="26.25" customHeight="1" spans="1:23">
      <c r="A280" s="117">
        <v>204001</v>
      </c>
      <c r="B280" s="29" t="s">
        <v>2831</v>
      </c>
      <c r="C280" s="118" t="s">
        <v>2835</v>
      </c>
      <c r="D280" s="135" t="s">
        <v>2836</v>
      </c>
      <c r="E280" s="37" t="s">
        <v>2840</v>
      </c>
      <c r="F280" s="48" t="s">
        <v>985</v>
      </c>
      <c r="G280" s="33">
        <f t="shared" si="98"/>
        <v>240</v>
      </c>
      <c r="H280" s="33">
        <v>240</v>
      </c>
      <c r="I280" s="33"/>
      <c r="J280" s="33"/>
      <c r="K280" s="33">
        <v>-20</v>
      </c>
      <c r="L280" s="33"/>
      <c r="M280" s="54">
        <f t="shared" si="99"/>
        <v>0</v>
      </c>
      <c r="N280" s="54"/>
      <c r="O280" s="54"/>
      <c r="P280" s="54"/>
      <c r="Q280" s="68">
        <f t="shared" si="100"/>
        <v>0</v>
      </c>
      <c r="R280" s="68"/>
      <c r="S280" s="68"/>
      <c r="T280" s="68"/>
      <c r="U280" s="129">
        <v>70</v>
      </c>
      <c r="V280" s="33">
        <f t="shared" si="101"/>
        <v>150</v>
      </c>
      <c r="W280" s="130" t="s">
        <v>2283</v>
      </c>
    </row>
    <row r="281" s="4" customFormat="1" ht="26.25" customHeight="1" spans="1:23">
      <c r="A281" s="117">
        <v>204001</v>
      </c>
      <c r="B281" s="29" t="s">
        <v>2831</v>
      </c>
      <c r="C281" s="118" t="s">
        <v>2835</v>
      </c>
      <c r="D281" s="82" t="s">
        <v>2836</v>
      </c>
      <c r="E281" s="37" t="s">
        <v>2841</v>
      </c>
      <c r="F281" s="48" t="s">
        <v>2842</v>
      </c>
      <c r="G281" s="33">
        <f t="shared" si="98"/>
        <v>130</v>
      </c>
      <c r="H281" s="33"/>
      <c r="I281" s="33"/>
      <c r="J281" s="33">
        <v>130</v>
      </c>
      <c r="K281" s="33"/>
      <c r="L281" s="33"/>
      <c r="M281" s="54">
        <f t="shared" si="99"/>
        <v>-75</v>
      </c>
      <c r="N281" s="54">
        <v>-130</v>
      </c>
      <c r="O281" s="54">
        <v>55</v>
      </c>
      <c r="P281" s="54"/>
      <c r="Q281" s="68">
        <f t="shared" si="100"/>
        <v>0</v>
      </c>
      <c r="R281" s="68"/>
      <c r="S281" s="68"/>
      <c r="T281" s="68"/>
      <c r="U281" s="129"/>
      <c r="V281" s="54">
        <f t="shared" si="101"/>
        <v>55</v>
      </c>
      <c r="W281" s="74" t="s">
        <v>657</v>
      </c>
    </row>
    <row r="282" s="4" customFormat="1" ht="26.25" customHeight="1" spans="1:23">
      <c r="A282" s="117">
        <v>204001</v>
      </c>
      <c r="B282" s="29" t="s">
        <v>2831</v>
      </c>
      <c r="C282" s="118" t="s">
        <v>2835</v>
      </c>
      <c r="D282" s="82" t="s">
        <v>2836</v>
      </c>
      <c r="E282" s="37" t="s">
        <v>2843</v>
      </c>
      <c r="F282" s="32" t="s">
        <v>2844</v>
      </c>
      <c r="G282" s="33">
        <f t="shared" si="98"/>
        <v>0</v>
      </c>
      <c r="H282" s="33"/>
      <c r="I282" s="33"/>
      <c r="J282" s="33"/>
      <c r="K282" s="33"/>
      <c r="L282" s="33"/>
      <c r="M282" s="54">
        <f t="shared" si="99"/>
        <v>81</v>
      </c>
      <c r="N282" s="54"/>
      <c r="O282" s="54">
        <v>81</v>
      </c>
      <c r="P282" s="54"/>
      <c r="Q282" s="68">
        <f t="shared" si="100"/>
        <v>0</v>
      </c>
      <c r="R282" s="68"/>
      <c r="S282" s="68"/>
      <c r="T282" s="68"/>
      <c r="U282" s="129"/>
      <c r="V282" s="54">
        <f t="shared" si="101"/>
        <v>81</v>
      </c>
      <c r="W282" s="92" t="s">
        <v>513</v>
      </c>
    </row>
    <row r="283" s="4" customFormat="1" ht="26.25" customHeight="1" spans="1:23">
      <c r="A283" s="117">
        <v>204001</v>
      </c>
      <c r="B283" s="29" t="s">
        <v>2831</v>
      </c>
      <c r="C283" s="118" t="s">
        <v>2845</v>
      </c>
      <c r="D283" s="86" t="s">
        <v>2846</v>
      </c>
      <c r="E283" s="127" t="s">
        <v>2834</v>
      </c>
      <c r="F283" s="38" t="s">
        <v>984</v>
      </c>
      <c r="G283" s="33">
        <f t="shared" si="98"/>
        <v>0</v>
      </c>
      <c r="H283" s="33"/>
      <c r="I283" s="33"/>
      <c r="J283" s="33"/>
      <c r="K283" s="33"/>
      <c r="L283" s="33"/>
      <c r="M283" s="54">
        <f t="shared" si="99"/>
        <v>0</v>
      </c>
      <c r="N283" s="54"/>
      <c r="O283" s="54"/>
      <c r="P283" s="54"/>
      <c r="Q283" s="68">
        <f t="shared" si="100"/>
        <v>39</v>
      </c>
      <c r="R283" s="68"/>
      <c r="S283" s="68">
        <v>39</v>
      </c>
      <c r="T283" s="68"/>
      <c r="U283" s="129"/>
      <c r="V283" s="68">
        <f t="shared" si="101"/>
        <v>39</v>
      </c>
      <c r="W283" s="91" t="s">
        <v>2847</v>
      </c>
    </row>
    <row r="284" s="4" customFormat="1" ht="26.25" customHeight="1" spans="1:23">
      <c r="A284" s="117">
        <v>204001</v>
      </c>
      <c r="B284" s="29" t="s">
        <v>2831</v>
      </c>
      <c r="C284" s="118" t="s">
        <v>2845</v>
      </c>
      <c r="D284" s="82" t="s">
        <v>2846</v>
      </c>
      <c r="E284" s="127" t="s">
        <v>2834</v>
      </c>
      <c r="F284" s="35" t="s">
        <v>984</v>
      </c>
      <c r="G284" s="33">
        <f t="shared" si="98"/>
        <v>0</v>
      </c>
      <c r="H284" s="33"/>
      <c r="I284" s="33"/>
      <c r="J284" s="33"/>
      <c r="K284" s="33"/>
      <c r="L284" s="33"/>
      <c r="M284" s="54">
        <f t="shared" si="99"/>
        <v>9</v>
      </c>
      <c r="N284" s="54"/>
      <c r="O284" s="54">
        <v>9</v>
      </c>
      <c r="P284" s="54"/>
      <c r="Q284" s="68">
        <f t="shared" si="100"/>
        <v>0</v>
      </c>
      <c r="R284" s="68"/>
      <c r="S284" s="68"/>
      <c r="T284" s="68"/>
      <c r="U284" s="129"/>
      <c r="V284" s="54">
        <f t="shared" si="101"/>
        <v>9</v>
      </c>
      <c r="W284" s="92" t="s">
        <v>515</v>
      </c>
    </row>
    <row r="285" s="4" customFormat="1" ht="26.25" customHeight="1" spans="1:23">
      <c r="A285" s="117">
        <v>204001</v>
      </c>
      <c r="B285" s="29" t="s">
        <v>2831</v>
      </c>
      <c r="C285" s="118" t="s">
        <v>2845</v>
      </c>
      <c r="D285" s="82" t="s">
        <v>2846</v>
      </c>
      <c r="E285" s="37" t="s">
        <v>2843</v>
      </c>
      <c r="F285" s="32" t="s">
        <v>2844</v>
      </c>
      <c r="G285" s="33">
        <f t="shared" si="98"/>
        <v>0</v>
      </c>
      <c r="H285" s="33"/>
      <c r="I285" s="33"/>
      <c r="J285" s="33"/>
      <c r="K285" s="33"/>
      <c r="L285" s="33"/>
      <c r="M285" s="54">
        <f t="shared" si="99"/>
        <v>34</v>
      </c>
      <c r="N285" s="54"/>
      <c r="O285" s="54">
        <v>34</v>
      </c>
      <c r="P285" s="54"/>
      <c r="Q285" s="68">
        <f t="shared" si="100"/>
        <v>0</v>
      </c>
      <c r="R285" s="68"/>
      <c r="S285" s="68"/>
      <c r="T285" s="68"/>
      <c r="U285" s="129"/>
      <c r="V285" s="54">
        <f t="shared" si="101"/>
        <v>34</v>
      </c>
      <c r="W285" s="74" t="s">
        <v>657</v>
      </c>
    </row>
    <row r="286" s="4" customFormat="1" ht="26.25" customHeight="1" spans="1:23">
      <c r="A286" s="117">
        <v>204001</v>
      </c>
      <c r="B286" s="29" t="s">
        <v>2831</v>
      </c>
      <c r="C286" s="118" t="s">
        <v>2845</v>
      </c>
      <c r="D286" s="82" t="s">
        <v>2846</v>
      </c>
      <c r="E286" s="37" t="s">
        <v>2843</v>
      </c>
      <c r="F286" s="48" t="s">
        <v>2844</v>
      </c>
      <c r="G286" s="33">
        <f t="shared" si="98"/>
        <v>460</v>
      </c>
      <c r="H286" s="33"/>
      <c r="I286" s="33"/>
      <c r="J286" s="33">
        <v>460</v>
      </c>
      <c r="K286" s="33"/>
      <c r="L286" s="33"/>
      <c r="M286" s="54">
        <f t="shared" si="99"/>
        <v>-28</v>
      </c>
      <c r="N286" s="54">
        <v>-460</v>
      </c>
      <c r="O286" s="54">
        <v>432</v>
      </c>
      <c r="P286" s="54"/>
      <c r="Q286" s="68">
        <f t="shared" si="100"/>
        <v>0</v>
      </c>
      <c r="R286" s="68"/>
      <c r="S286" s="68"/>
      <c r="T286" s="68"/>
      <c r="U286" s="129"/>
      <c r="V286" s="54">
        <f t="shared" si="101"/>
        <v>432</v>
      </c>
      <c r="W286" s="92" t="s">
        <v>488</v>
      </c>
    </row>
    <row r="287" s="4" customFormat="1" ht="26.25" customHeight="1" spans="1:23">
      <c r="A287" s="117">
        <v>204001</v>
      </c>
      <c r="B287" s="29" t="s">
        <v>2831</v>
      </c>
      <c r="C287" s="118" t="s">
        <v>2848</v>
      </c>
      <c r="D287" s="135" t="s">
        <v>986</v>
      </c>
      <c r="E287" s="37" t="s">
        <v>2849</v>
      </c>
      <c r="F287" s="48" t="s">
        <v>986</v>
      </c>
      <c r="G287" s="33">
        <f t="shared" si="98"/>
        <v>15</v>
      </c>
      <c r="H287" s="33">
        <v>15</v>
      </c>
      <c r="I287" s="33"/>
      <c r="J287" s="33"/>
      <c r="K287" s="33"/>
      <c r="L287" s="33"/>
      <c r="M287" s="54">
        <f t="shared" si="99"/>
        <v>0</v>
      </c>
      <c r="N287" s="54"/>
      <c r="O287" s="54"/>
      <c r="P287" s="54"/>
      <c r="Q287" s="68">
        <f t="shared" si="100"/>
        <v>0</v>
      </c>
      <c r="R287" s="68"/>
      <c r="S287" s="68"/>
      <c r="T287" s="68"/>
      <c r="U287" s="129">
        <v>6</v>
      </c>
      <c r="V287" s="33">
        <f t="shared" si="101"/>
        <v>9</v>
      </c>
      <c r="W287" s="130" t="s">
        <v>2283</v>
      </c>
    </row>
    <row r="288" s="4" customFormat="1" ht="26.25" customHeight="1" spans="1:23">
      <c r="A288" s="117">
        <v>204001</v>
      </c>
      <c r="B288" s="29" t="s">
        <v>2831</v>
      </c>
      <c r="C288" s="118" t="s">
        <v>2848</v>
      </c>
      <c r="D288" s="82" t="s">
        <v>986</v>
      </c>
      <c r="E288" s="37" t="s">
        <v>2850</v>
      </c>
      <c r="F288" s="48" t="s">
        <v>2851</v>
      </c>
      <c r="G288" s="33">
        <f t="shared" si="98"/>
        <v>30</v>
      </c>
      <c r="H288" s="33"/>
      <c r="I288" s="33"/>
      <c r="J288" s="33">
        <v>30</v>
      </c>
      <c r="K288" s="33"/>
      <c r="L288" s="33"/>
      <c r="M288" s="54">
        <f t="shared" si="99"/>
        <v>17</v>
      </c>
      <c r="N288" s="54">
        <v>-30</v>
      </c>
      <c r="O288" s="54">
        <v>47</v>
      </c>
      <c r="P288" s="54"/>
      <c r="Q288" s="68">
        <f t="shared" si="100"/>
        <v>0</v>
      </c>
      <c r="R288" s="68"/>
      <c r="S288" s="68"/>
      <c r="T288" s="68"/>
      <c r="U288" s="129"/>
      <c r="V288" s="54">
        <f t="shared" si="101"/>
        <v>47</v>
      </c>
      <c r="W288" s="74" t="s">
        <v>657</v>
      </c>
    </row>
    <row r="289" s="4" customFormat="1" ht="26.25" customHeight="1" spans="1:23">
      <c r="A289" s="117">
        <v>204001</v>
      </c>
      <c r="B289" s="29" t="s">
        <v>2831</v>
      </c>
      <c r="C289" s="118" t="s">
        <v>2852</v>
      </c>
      <c r="D289" s="119" t="s">
        <v>2853</v>
      </c>
      <c r="E289" s="37" t="s">
        <v>2854</v>
      </c>
      <c r="F289" s="48" t="s">
        <v>987</v>
      </c>
      <c r="G289" s="33">
        <f t="shared" si="98"/>
        <v>12.4</v>
      </c>
      <c r="H289" s="33">
        <v>12.4</v>
      </c>
      <c r="I289" s="33"/>
      <c r="J289" s="33"/>
      <c r="K289" s="33"/>
      <c r="L289" s="33"/>
      <c r="M289" s="54">
        <f t="shared" si="99"/>
        <v>0</v>
      </c>
      <c r="N289" s="54"/>
      <c r="O289" s="54"/>
      <c r="P289" s="54"/>
      <c r="Q289" s="68">
        <f t="shared" si="100"/>
        <v>0</v>
      </c>
      <c r="R289" s="68"/>
      <c r="S289" s="68"/>
      <c r="T289" s="68"/>
      <c r="U289" s="129">
        <v>7</v>
      </c>
      <c r="V289" s="33">
        <f t="shared" si="101"/>
        <v>5.4</v>
      </c>
      <c r="W289" s="130" t="s">
        <v>2283</v>
      </c>
    </row>
    <row r="290" s="4" customFormat="1" ht="26.25" customHeight="1" spans="1:23">
      <c r="A290" s="117">
        <v>204001</v>
      </c>
      <c r="B290" s="29" t="s">
        <v>2831</v>
      </c>
      <c r="C290" s="118" t="s">
        <v>2855</v>
      </c>
      <c r="D290" s="119" t="s">
        <v>2083</v>
      </c>
      <c r="E290" s="30" t="s">
        <v>2856</v>
      </c>
      <c r="F290" s="32" t="s">
        <v>2857</v>
      </c>
      <c r="G290" s="33">
        <f t="shared" si="98"/>
        <v>27</v>
      </c>
      <c r="H290" s="33">
        <v>27</v>
      </c>
      <c r="I290" s="33"/>
      <c r="J290" s="33"/>
      <c r="K290" s="33"/>
      <c r="L290" s="33"/>
      <c r="M290" s="54">
        <f t="shared" si="99"/>
        <v>0</v>
      </c>
      <c r="N290" s="54"/>
      <c r="O290" s="54"/>
      <c r="P290" s="54"/>
      <c r="Q290" s="68">
        <f t="shared" si="100"/>
        <v>0</v>
      </c>
      <c r="R290" s="68"/>
      <c r="S290" s="68"/>
      <c r="T290" s="68"/>
      <c r="U290" s="129"/>
      <c r="V290" s="33">
        <f t="shared" si="101"/>
        <v>27</v>
      </c>
      <c r="W290" s="130" t="s">
        <v>2283</v>
      </c>
    </row>
    <row r="291" s="4" customFormat="1" ht="26.25" customHeight="1" spans="1:23">
      <c r="A291" s="117">
        <v>204001</v>
      </c>
      <c r="B291" s="29" t="s">
        <v>2831</v>
      </c>
      <c r="C291" s="118" t="s">
        <v>2855</v>
      </c>
      <c r="D291" s="119" t="s">
        <v>2083</v>
      </c>
      <c r="E291" s="121" t="s">
        <v>2858</v>
      </c>
      <c r="F291" s="35" t="s">
        <v>2317</v>
      </c>
      <c r="G291" s="33">
        <f t="shared" si="98"/>
        <v>0</v>
      </c>
      <c r="H291" s="33"/>
      <c r="I291" s="33"/>
      <c r="J291" s="33"/>
      <c r="K291" s="55">
        <v>1</v>
      </c>
      <c r="L291" s="33"/>
      <c r="M291" s="54">
        <f t="shared" si="99"/>
        <v>0</v>
      </c>
      <c r="N291" s="54"/>
      <c r="O291" s="54"/>
      <c r="P291" s="54"/>
      <c r="Q291" s="68">
        <f t="shared" si="100"/>
        <v>0</v>
      </c>
      <c r="R291" s="68"/>
      <c r="S291" s="68"/>
      <c r="T291" s="68"/>
      <c r="U291" s="129"/>
      <c r="V291" s="33">
        <f t="shared" si="101"/>
        <v>1</v>
      </c>
      <c r="W291" s="130" t="s">
        <v>2283</v>
      </c>
    </row>
    <row r="292" s="4" customFormat="1" ht="26.25" customHeight="1" spans="1:23">
      <c r="A292" s="117">
        <v>204001</v>
      </c>
      <c r="B292" s="29" t="s">
        <v>2831</v>
      </c>
      <c r="C292" s="35" t="s">
        <v>2859</v>
      </c>
      <c r="D292" s="38" t="s">
        <v>2860</v>
      </c>
      <c r="E292" s="121" t="s">
        <v>2861</v>
      </c>
      <c r="F292" s="38" t="s">
        <v>2860</v>
      </c>
      <c r="G292" s="33">
        <f t="shared" si="98"/>
        <v>0</v>
      </c>
      <c r="H292" s="33"/>
      <c r="I292" s="33"/>
      <c r="J292" s="33"/>
      <c r="K292" s="33"/>
      <c r="L292" s="33"/>
      <c r="M292" s="54">
        <f t="shared" si="99"/>
        <v>0</v>
      </c>
      <c r="N292" s="54"/>
      <c r="O292" s="54"/>
      <c r="P292" s="54"/>
      <c r="Q292" s="68">
        <f t="shared" si="100"/>
        <v>35</v>
      </c>
      <c r="R292" s="68"/>
      <c r="S292" s="68">
        <v>35</v>
      </c>
      <c r="T292" s="68"/>
      <c r="U292" s="129"/>
      <c r="V292" s="68">
        <f t="shared" si="101"/>
        <v>35</v>
      </c>
      <c r="W292" s="91" t="s">
        <v>2862</v>
      </c>
    </row>
    <row r="293" s="4" customFormat="1" ht="26.25" customHeight="1" spans="1:23">
      <c r="A293" s="117">
        <v>204001</v>
      </c>
      <c r="B293" s="29" t="s">
        <v>2831</v>
      </c>
      <c r="C293" s="118" t="s">
        <v>2859</v>
      </c>
      <c r="D293" s="135" t="s">
        <v>2860</v>
      </c>
      <c r="E293" s="30" t="s">
        <v>2863</v>
      </c>
      <c r="F293" s="32" t="s">
        <v>2864</v>
      </c>
      <c r="G293" s="33">
        <f t="shared" si="98"/>
        <v>60</v>
      </c>
      <c r="H293" s="33">
        <v>60</v>
      </c>
      <c r="I293" s="33"/>
      <c r="J293" s="33"/>
      <c r="K293" s="33"/>
      <c r="L293" s="33"/>
      <c r="M293" s="54">
        <f t="shared" si="99"/>
        <v>0</v>
      </c>
      <c r="N293" s="54"/>
      <c r="O293" s="54"/>
      <c r="P293" s="54"/>
      <c r="Q293" s="68">
        <f t="shared" si="100"/>
        <v>0</v>
      </c>
      <c r="R293" s="68"/>
      <c r="S293" s="68"/>
      <c r="T293" s="68"/>
      <c r="U293" s="129"/>
      <c r="V293" s="33">
        <f t="shared" si="101"/>
        <v>60</v>
      </c>
      <c r="W293" s="130" t="s">
        <v>2283</v>
      </c>
    </row>
    <row r="294" s="4" customFormat="1" ht="26.25" customHeight="1" spans="1:23">
      <c r="A294" s="117">
        <v>204001</v>
      </c>
      <c r="B294" s="29" t="s">
        <v>2831</v>
      </c>
      <c r="C294" s="35" t="s">
        <v>2865</v>
      </c>
      <c r="D294" s="38" t="s">
        <v>2866</v>
      </c>
      <c r="E294" s="121" t="s">
        <v>2867</v>
      </c>
      <c r="F294" s="38" t="s">
        <v>2868</v>
      </c>
      <c r="G294" s="33">
        <f t="shared" si="98"/>
        <v>0</v>
      </c>
      <c r="H294" s="33"/>
      <c r="I294" s="33"/>
      <c r="J294" s="33"/>
      <c r="K294" s="33"/>
      <c r="L294" s="33"/>
      <c r="M294" s="54">
        <f t="shared" si="99"/>
        <v>0</v>
      </c>
      <c r="N294" s="54"/>
      <c r="O294" s="54"/>
      <c r="P294" s="54"/>
      <c r="Q294" s="68">
        <f t="shared" si="100"/>
        <v>23</v>
      </c>
      <c r="R294" s="68"/>
      <c r="S294" s="68">
        <v>23</v>
      </c>
      <c r="T294" s="68"/>
      <c r="U294" s="129"/>
      <c r="V294" s="68">
        <f t="shared" si="101"/>
        <v>23</v>
      </c>
      <c r="W294" s="91" t="s">
        <v>2869</v>
      </c>
    </row>
    <row r="295" s="4" customFormat="1" ht="26.25" customHeight="1" spans="1:23">
      <c r="A295" s="117">
        <v>204001</v>
      </c>
      <c r="B295" s="29" t="s">
        <v>2831</v>
      </c>
      <c r="C295" s="35" t="s">
        <v>2870</v>
      </c>
      <c r="D295" s="76" t="s">
        <v>2871</v>
      </c>
      <c r="E295" s="127" t="s">
        <v>2872</v>
      </c>
      <c r="F295" s="35" t="s">
        <v>2873</v>
      </c>
      <c r="G295" s="33">
        <f t="shared" si="98"/>
        <v>0</v>
      </c>
      <c r="H295" s="33"/>
      <c r="I295" s="33"/>
      <c r="J295" s="33"/>
      <c r="K295" s="33"/>
      <c r="L295" s="33"/>
      <c r="M295" s="54">
        <f t="shared" si="99"/>
        <v>14</v>
      </c>
      <c r="N295" s="54"/>
      <c r="O295" s="54">
        <v>14</v>
      </c>
      <c r="P295" s="54"/>
      <c r="Q295" s="68">
        <f t="shared" si="100"/>
        <v>0</v>
      </c>
      <c r="R295" s="68"/>
      <c r="S295" s="68"/>
      <c r="T295" s="68"/>
      <c r="U295" s="129"/>
      <c r="V295" s="54">
        <f t="shared" si="101"/>
        <v>14</v>
      </c>
      <c r="W295" s="75" t="s">
        <v>485</v>
      </c>
    </row>
    <row r="296" s="98" customFormat="1" ht="26.25" customHeight="1" spans="1:24">
      <c r="A296" s="117">
        <v>204001</v>
      </c>
      <c r="B296" s="29" t="s">
        <v>2831</v>
      </c>
      <c r="C296" s="118" t="s">
        <v>2874</v>
      </c>
      <c r="D296" s="86" t="s">
        <v>2875</v>
      </c>
      <c r="E296" s="127" t="s">
        <v>2876</v>
      </c>
      <c r="F296" s="38" t="s">
        <v>2877</v>
      </c>
      <c r="G296" s="33">
        <f t="shared" si="98"/>
        <v>0</v>
      </c>
      <c r="H296" s="33"/>
      <c r="I296" s="33"/>
      <c r="J296" s="33"/>
      <c r="K296" s="33"/>
      <c r="L296" s="33"/>
      <c r="M296" s="54">
        <f t="shared" si="99"/>
        <v>0</v>
      </c>
      <c r="N296" s="54"/>
      <c r="O296" s="54"/>
      <c r="P296" s="54"/>
      <c r="Q296" s="68">
        <f t="shared" si="100"/>
        <v>2.7629</v>
      </c>
      <c r="R296" s="68"/>
      <c r="S296" s="68">
        <v>2.7629</v>
      </c>
      <c r="T296" s="68"/>
      <c r="U296" s="129"/>
      <c r="V296" s="68">
        <f t="shared" si="101"/>
        <v>2.7629</v>
      </c>
      <c r="W296" s="71" t="s">
        <v>2878</v>
      </c>
      <c r="X296" s="4"/>
    </row>
    <row r="297" s="98" customFormat="1" ht="26.25" customHeight="1" spans="1:24">
      <c r="A297" s="117">
        <v>204001</v>
      </c>
      <c r="B297" s="29" t="s">
        <v>2831</v>
      </c>
      <c r="C297" s="118" t="s">
        <v>2874</v>
      </c>
      <c r="D297" s="86" t="s">
        <v>2875</v>
      </c>
      <c r="E297" s="127" t="s">
        <v>2843</v>
      </c>
      <c r="F297" s="38" t="s">
        <v>2879</v>
      </c>
      <c r="G297" s="33">
        <f t="shared" si="98"/>
        <v>0</v>
      </c>
      <c r="H297" s="33"/>
      <c r="I297" s="33"/>
      <c r="J297" s="33"/>
      <c r="K297" s="33"/>
      <c r="L297" s="33"/>
      <c r="M297" s="54">
        <f t="shared" si="99"/>
        <v>0</v>
      </c>
      <c r="N297" s="54"/>
      <c r="O297" s="54"/>
      <c r="P297" s="54"/>
      <c r="Q297" s="68">
        <f t="shared" si="100"/>
        <v>0.8199</v>
      </c>
      <c r="R297" s="68"/>
      <c r="S297" s="68">
        <v>0.8199</v>
      </c>
      <c r="T297" s="68"/>
      <c r="U297" s="129"/>
      <c r="V297" s="68">
        <f t="shared" si="101"/>
        <v>0.8199</v>
      </c>
      <c r="W297" s="71" t="s">
        <v>2878</v>
      </c>
      <c r="X297" s="4"/>
    </row>
    <row r="298" s="98" customFormat="1" ht="26.25" customHeight="1" spans="1:24">
      <c r="A298" s="117">
        <v>204001</v>
      </c>
      <c r="B298" s="29" t="s">
        <v>2831</v>
      </c>
      <c r="C298" s="118" t="s">
        <v>2874</v>
      </c>
      <c r="D298" s="82" t="s">
        <v>2875</v>
      </c>
      <c r="E298" s="37" t="s">
        <v>2872</v>
      </c>
      <c r="F298" s="48" t="s">
        <v>2880</v>
      </c>
      <c r="G298" s="33">
        <f t="shared" si="98"/>
        <v>30</v>
      </c>
      <c r="H298" s="33"/>
      <c r="I298" s="33"/>
      <c r="J298" s="33">
        <v>30</v>
      </c>
      <c r="K298" s="33"/>
      <c r="L298" s="33"/>
      <c r="M298" s="54">
        <f t="shared" si="99"/>
        <v>-30</v>
      </c>
      <c r="N298" s="54">
        <v>-30</v>
      </c>
      <c r="O298" s="54"/>
      <c r="P298" s="54"/>
      <c r="Q298" s="68">
        <f t="shared" si="100"/>
        <v>0</v>
      </c>
      <c r="R298" s="68"/>
      <c r="S298" s="68"/>
      <c r="T298" s="68"/>
      <c r="U298" s="129"/>
      <c r="V298" s="54">
        <f t="shared" si="101"/>
        <v>0</v>
      </c>
      <c r="W298" s="92" t="s">
        <v>2283</v>
      </c>
      <c r="X298" s="4"/>
    </row>
    <row r="299" s="98" customFormat="1" ht="26.25" customHeight="1" spans="1:24">
      <c r="A299" s="117">
        <v>204001</v>
      </c>
      <c r="B299" s="29" t="s">
        <v>2831</v>
      </c>
      <c r="C299" s="118" t="s">
        <v>2874</v>
      </c>
      <c r="D299" s="135" t="s">
        <v>2875</v>
      </c>
      <c r="E299" s="37"/>
      <c r="F299" s="48" t="s">
        <v>2877</v>
      </c>
      <c r="G299" s="33">
        <f t="shared" si="98"/>
        <v>0</v>
      </c>
      <c r="H299" s="33"/>
      <c r="I299" s="33"/>
      <c r="J299" s="33"/>
      <c r="K299" s="33">
        <v>20</v>
      </c>
      <c r="L299" s="33"/>
      <c r="M299" s="54">
        <f t="shared" si="99"/>
        <v>0</v>
      </c>
      <c r="N299" s="54"/>
      <c r="O299" s="54"/>
      <c r="P299" s="54"/>
      <c r="Q299" s="68">
        <f t="shared" si="100"/>
        <v>0</v>
      </c>
      <c r="R299" s="68"/>
      <c r="S299" s="68"/>
      <c r="T299" s="68"/>
      <c r="U299" s="129"/>
      <c r="V299" s="33">
        <f t="shared" si="101"/>
        <v>20</v>
      </c>
      <c r="W299" s="130" t="s">
        <v>2283</v>
      </c>
      <c r="X299" s="4"/>
    </row>
    <row r="300" s="98" customFormat="1" ht="26.25" customHeight="1" spans="1:24">
      <c r="A300" s="117">
        <v>204001</v>
      </c>
      <c r="B300" s="29" t="s">
        <v>2831</v>
      </c>
      <c r="C300" s="118" t="s">
        <v>2855</v>
      </c>
      <c r="D300" s="119" t="s">
        <v>2083</v>
      </c>
      <c r="E300" s="37"/>
      <c r="F300" s="48" t="s">
        <v>933</v>
      </c>
      <c r="G300" s="33">
        <f t="shared" si="98"/>
        <v>0</v>
      </c>
      <c r="H300" s="33"/>
      <c r="I300" s="33"/>
      <c r="J300" s="33"/>
      <c r="K300" s="137"/>
      <c r="L300" s="33"/>
      <c r="M300" s="54">
        <f t="shared" si="99"/>
        <v>0</v>
      </c>
      <c r="N300" s="54"/>
      <c r="O300" s="54"/>
      <c r="P300" s="54"/>
      <c r="Q300" s="68">
        <f t="shared" si="100"/>
        <v>0</v>
      </c>
      <c r="R300" s="68"/>
      <c r="S300" s="68"/>
      <c r="T300" s="68"/>
      <c r="U300" s="129"/>
      <c r="V300" s="33">
        <f t="shared" si="101"/>
        <v>0</v>
      </c>
      <c r="W300" s="130" t="s">
        <v>2283</v>
      </c>
      <c r="X300" s="4"/>
    </row>
    <row r="301" s="4" customFormat="1" ht="26.25" customHeight="1" spans="1:23">
      <c r="A301" s="115">
        <v>205001</v>
      </c>
      <c r="B301" s="23" t="s">
        <v>2881</v>
      </c>
      <c r="C301" s="116"/>
      <c r="D301" s="116"/>
      <c r="E301" s="84"/>
      <c r="F301" s="26"/>
      <c r="G301" s="27">
        <f t="shared" ref="G301:V301" si="102">SUM(G302:G327)</f>
        <v>1575.15</v>
      </c>
      <c r="H301" s="27">
        <f t="shared" si="102"/>
        <v>1065.15</v>
      </c>
      <c r="I301" s="27">
        <f t="shared" si="102"/>
        <v>0</v>
      </c>
      <c r="J301" s="27">
        <f t="shared" si="102"/>
        <v>510</v>
      </c>
      <c r="K301" s="27">
        <f t="shared" si="102"/>
        <v>22.1</v>
      </c>
      <c r="L301" s="27">
        <f t="shared" si="102"/>
        <v>0</v>
      </c>
      <c r="M301" s="27">
        <f t="shared" si="102"/>
        <v>276.31</v>
      </c>
      <c r="N301" s="27">
        <f t="shared" si="102"/>
        <v>-510</v>
      </c>
      <c r="O301" s="27">
        <f t="shared" si="102"/>
        <v>786.31</v>
      </c>
      <c r="P301" s="27">
        <f t="shared" si="102"/>
        <v>0</v>
      </c>
      <c r="Q301" s="27">
        <f t="shared" si="102"/>
        <v>21.073</v>
      </c>
      <c r="R301" s="27">
        <f t="shared" si="102"/>
        <v>1</v>
      </c>
      <c r="S301" s="27">
        <f t="shared" si="102"/>
        <v>29.733</v>
      </c>
      <c r="T301" s="27">
        <f t="shared" si="102"/>
        <v>9.66</v>
      </c>
      <c r="U301" s="27">
        <f t="shared" si="102"/>
        <v>69.81</v>
      </c>
      <c r="V301" s="27">
        <f t="shared" si="102"/>
        <v>1824.823</v>
      </c>
      <c r="W301" s="67"/>
    </row>
    <row r="302" s="4" customFormat="1" ht="26.25" customHeight="1" spans="1:23">
      <c r="A302" s="117">
        <v>205001</v>
      </c>
      <c r="B302" s="29" t="s">
        <v>2882</v>
      </c>
      <c r="C302" s="35" t="s">
        <v>2334</v>
      </c>
      <c r="D302" s="38" t="s">
        <v>2335</v>
      </c>
      <c r="E302" s="121" t="s">
        <v>2883</v>
      </c>
      <c r="F302" s="38" t="s">
        <v>2884</v>
      </c>
      <c r="G302" s="33">
        <f t="shared" ref="G302:G327" si="103">SUM(H302:J302)</f>
        <v>0</v>
      </c>
      <c r="H302" s="33"/>
      <c r="I302" s="33"/>
      <c r="J302" s="33"/>
      <c r="K302" s="33"/>
      <c r="L302" s="33"/>
      <c r="M302" s="54">
        <f t="shared" ref="M302:M327" si="104">N302+O302-P302</f>
        <v>0</v>
      </c>
      <c r="N302" s="54"/>
      <c r="O302" s="54"/>
      <c r="P302" s="54"/>
      <c r="Q302" s="68">
        <f t="shared" ref="Q302:Q327" si="105">R302+S302-T302</f>
        <v>1</v>
      </c>
      <c r="R302" s="68">
        <v>1</v>
      </c>
      <c r="S302" s="68"/>
      <c r="T302" s="68"/>
      <c r="U302" s="129"/>
      <c r="V302" s="68">
        <f t="shared" ref="V302:V327" si="106">G302+K302+L302+M302+Q302-U302</f>
        <v>1</v>
      </c>
      <c r="W302" s="91" t="s">
        <v>2498</v>
      </c>
    </row>
    <row r="303" s="4" customFormat="1" ht="26.25" customHeight="1" spans="1:23">
      <c r="A303" s="117">
        <v>205001</v>
      </c>
      <c r="B303" s="29" t="s">
        <v>2882</v>
      </c>
      <c r="C303" s="118" t="s">
        <v>2885</v>
      </c>
      <c r="D303" s="119" t="s">
        <v>2083</v>
      </c>
      <c r="E303" s="37" t="s">
        <v>2886</v>
      </c>
      <c r="F303" s="32" t="s">
        <v>2887</v>
      </c>
      <c r="G303" s="33">
        <f t="shared" si="103"/>
        <v>1</v>
      </c>
      <c r="H303" s="33">
        <v>1</v>
      </c>
      <c r="I303" s="33"/>
      <c r="J303" s="33"/>
      <c r="K303" s="33"/>
      <c r="L303" s="33"/>
      <c r="M303" s="54">
        <f t="shared" si="104"/>
        <v>0</v>
      </c>
      <c r="N303" s="54"/>
      <c r="O303" s="54"/>
      <c r="P303" s="54"/>
      <c r="Q303" s="68">
        <f t="shared" si="105"/>
        <v>0</v>
      </c>
      <c r="R303" s="68"/>
      <c r="S303" s="68"/>
      <c r="T303" s="68"/>
      <c r="U303" s="129"/>
      <c r="V303" s="33">
        <f t="shared" si="106"/>
        <v>1</v>
      </c>
      <c r="W303" s="130" t="s">
        <v>2283</v>
      </c>
    </row>
    <row r="304" s="4" customFormat="1" ht="26.25" customHeight="1" spans="1:23">
      <c r="A304" s="117">
        <v>205001</v>
      </c>
      <c r="B304" s="29" t="s">
        <v>2882</v>
      </c>
      <c r="C304" s="118" t="s">
        <v>2885</v>
      </c>
      <c r="D304" s="119" t="s">
        <v>2083</v>
      </c>
      <c r="E304" s="30" t="s">
        <v>2888</v>
      </c>
      <c r="F304" s="32" t="s">
        <v>2889</v>
      </c>
      <c r="G304" s="33">
        <f t="shared" si="103"/>
        <v>1</v>
      </c>
      <c r="H304" s="33">
        <v>1</v>
      </c>
      <c r="I304" s="33"/>
      <c r="J304" s="33"/>
      <c r="K304" s="33"/>
      <c r="L304" s="33"/>
      <c r="M304" s="54">
        <f t="shared" si="104"/>
        <v>0</v>
      </c>
      <c r="N304" s="54"/>
      <c r="O304" s="54"/>
      <c r="P304" s="54"/>
      <c r="Q304" s="68">
        <f t="shared" si="105"/>
        <v>0</v>
      </c>
      <c r="R304" s="68"/>
      <c r="S304" s="68"/>
      <c r="T304" s="68"/>
      <c r="U304" s="129"/>
      <c r="V304" s="33">
        <f t="shared" si="106"/>
        <v>1</v>
      </c>
      <c r="W304" s="130" t="s">
        <v>2283</v>
      </c>
    </row>
    <row r="305" s="4" customFormat="1" ht="26.25" customHeight="1" spans="1:23">
      <c r="A305" s="117">
        <v>205001</v>
      </c>
      <c r="B305" s="29" t="s">
        <v>2882</v>
      </c>
      <c r="C305" s="118" t="s">
        <v>2885</v>
      </c>
      <c r="D305" s="119" t="s">
        <v>2083</v>
      </c>
      <c r="E305" s="30" t="s">
        <v>2890</v>
      </c>
      <c r="F305" s="32" t="s">
        <v>933</v>
      </c>
      <c r="G305" s="33">
        <f t="shared" si="103"/>
        <v>2</v>
      </c>
      <c r="H305" s="33">
        <v>2</v>
      </c>
      <c r="I305" s="33"/>
      <c r="J305" s="33"/>
      <c r="K305" s="33"/>
      <c r="L305" s="33"/>
      <c r="M305" s="54">
        <f t="shared" si="104"/>
        <v>0</v>
      </c>
      <c r="N305" s="54"/>
      <c r="O305" s="54"/>
      <c r="P305" s="54"/>
      <c r="Q305" s="68">
        <f t="shared" si="105"/>
        <v>0</v>
      </c>
      <c r="R305" s="68"/>
      <c r="S305" s="68"/>
      <c r="T305" s="68"/>
      <c r="U305" s="129"/>
      <c r="V305" s="33">
        <f t="shared" si="106"/>
        <v>2</v>
      </c>
      <c r="W305" s="130" t="s">
        <v>2283</v>
      </c>
    </row>
    <row r="306" s="4" customFormat="1" ht="26.25" customHeight="1" spans="1:23">
      <c r="A306" s="117">
        <v>205001</v>
      </c>
      <c r="B306" s="29" t="s">
        <v>2882</v>
      </c>
      <c r="C306" s="118" t="s">
        <v>2885</v>
      </c>
      <c r="D306" s="119" t="s">
        <v>2083</v>
      </c>
      <c r="E306" s="30" t="s">
        <v>2891</v>
      </c>
      <c r="F306" s="32" t="s">
        <v>2892</v>
      </c>
      <c r="G306" s="33">
        <f t="shared" si="103"/>
        <v>130</v>
      </c>
      <c r="H306" s="33">
        <v>130</v>
      </c>
      <c r="I306" s="33"/>
      <c r="J306" s="33"/>
      <c r="K306" s="33">
        <v>14</v>
      </c>
      <c r="L306" s="33"/>
      <c r="M306" s="54">
        <f t="shared" si="104"/>
        <v>0</v>
      </c>
      <c r="N306" s="54"/>
      <c r="O306" s="54"/>
      <c r="P306" s="54"/>
      <c r="Q306" s="68">
        <f t="shared" si="105"/>
        <v>0</v>
      </c>
      <c r="R306" s="68"/>
      <c r="S306" s="68"/>
      <c r="T306" s="68"/>
      <c r="U306" s="129"/>
      <c r="V306" s="33">
        <f t="shared" si="106"/>
        <v>144</v>
      </c>
      <c r="W306" s="130" t="s">
        <v>2283</v>
      </c>
    </row>
    <row r="307" s="4" customFormat="1" ht="26.25" customHeight="1" spans="1:23">
      <c r="A307" s="117">
        <v>205001</v>
      </c>
      <c r="B307" s="29" t="s">
        <v>2882</v>
      </c>
      <c r="C307" s="118" t="s">
        <v>2885</v>
      </c>
      <c r="D307" s="119" t="s">
        <v>2083</v>
      </c>
      <c r="E307" s="37" t="s">
        <v>2893</v>
      </c>
      <c r="F307" s="32" t="s">
        <v>2894</v>
      </c>
      <c r="G307" s="33">
        <f t="shared" si="103"/>
        <v>10</v>
      </c>
      <c r="H307" s="33">
        <v>10</v>
      </c>
      <c r="I307" s="33"/>
      <c r="J307" s="33"/>
      <c r="K307" s="33"/>
      <c r="L307" s="33"/>
      <c r="M307" s="54">
        <f t="shared" si="104"/>
        <v>0</v>
      </c>
      <c r="N307" s="54"/>
      <c r="O307" s="54"/>
      <c r="P307" s="54"/>
      <c r="Q307" s="68">
        <f t="shared" si="105"/>
        <v>0</v>
      </c>
      <c r="R307" s="68"/>
      <c r="S307" s="68"/>
      <c r="T307" s="68"/>
      <c r="U307" s="129"/>
      <c r="V307" s="33">
        <f t="shared" si="106"/>
        <v>10</v>
      </c>
      <c r="W307" s="130" t="s">
        <v>2283</v>
      </c>
    </row>
    <row r="308" s="4" customFormat="1" ht="26.25" customHeight="1" spans="1:23">
      <c r="A308" s="117">
        <v>205001</v>
      </c>
      <c r="B308" s="29" t="s">
        <v>2882</v>
      </c>
      <c r="C308" s="118" t="s">
        <v>2885</v>
      </c>
      <c r="D308" s="119" t="s">
        <v>2083</v>
      </c>
      <c r="E308" s="121" t="s">
        <v>2895</v>
      </c>
      <c r="F308" s="35" t="s">
        <v>2317</v>
      </c>
      <c r="G308" s="33">
        <f t="shared" si="103"/>
        <v>0</v>
      </c>
      <c r="H308" s="33"/>
      <c r="I308" s="33"/>
      <c r="J308" s="33"/>
      <c r="K308" s="55">
        <v>2.1</v>
      </c>
      <c r="L308" s="33"/>
      <c r="M308" s="54">
        <f t="shared" si="104"/>
        <v>0</v>
      </c>
      <c r="N308" s="54"/>
      <c r="O308" s="54"/>
      <c r="P308" s="54"/>
      <c r="Q308" s="68">
        <f t="shared" si="105"/>
        <v>0</v>
      </c>
      <c r="R308" s="68"/>
      <c r="S308" s="68"/>
      <c r="T308" s="68"/>
      <c r="U308" s="129"/>
      <c r="V308" s="33">
        <f t="shared" si="106"/>
        <v>2.1</v>
      </c>
      <c r="W308" s="130" t="s">
        <v>2283</v>
      </c>
    </row>
    <row r="309" s="4" customFormat="1" ht="26.25" customHeight="1" spans="1:23">
      <c r="A309" s="117">
        <v>205001</v>
      </c>
      <c r="B309" s="29" t="s">
        <v>2882</v>
      </c>
      <c r="C309" s="118" t="s">
        <v>2896</v>
      </c>
      <c r="D309" s="135" t="s">
        <v>2897</v>
      </c>
      <c r="E309" s="37" t="s">
        <v>2898</v>
      </c>
      <c r="F309" s="32" t="s">
        <v>989</v>
      </c>
      <c r="G309" s="33">
        <f t="shared" si="103"/>
        <v>134.64</v>
      </c>
      <c r="H309" s="33">
        <v>134.64</v>
      </c>
      <c r="I309" s="33"/>
      <c r="J309" s="33"/>
      <c r="K309" s="33"/>
      <c r="L309" s="33"/>
      <c r="M309" s="54">
        <f t="shared" si="104"/>
        <v>0</v>
      </c>
      <c r="N309" s="54"/>
      <c r="O309" s="54"/>
      <c r="P309" s="54"/>
      <c r="Q309" s="68">
        <f t="shared" si="105"/>
        <v>0</v>
      </c>
      <c r="R309" s="68"/>
      <c r="S309" s="68"/>
      <c r="T309" s="68"/>
      <c r="U309" s="129">
        <v>9.95</v>
      </c>
      <c r="V309" s="33">
        <f t="shared" si="106"/>
        <v>124.69</v>
      </c>
      <c r="W309" s="130" t="s">
        <v>2283</v>
      </c>
    </row>
    <row r="310" s="4" customFormat="1" ht="26.25" customHeight="1" spans="1:23">
      <c r="A310" s="117">
        <v>205001</v>
      </c>
      <c r="B310" s="29" t="s">
        <v>2882</v>
      </c>
      <c r="C310" s="118" t="s">
        <v>2896</v>
      </c>
      <c r="D310" s="82" t="s">
        <v>2897</v>
      </c>
      <c r="E310" s="136" t="s">
        <v>2899</v>
      </c>
      <c r="F310" s="35" t="s">
        <v>2900</v>
      </c>
      <c r="G310" s="33">
        <f t="shared" si="103"/>
        <v>0</v>
      </c>
      <c r="H310" s="33"/>
      <c r="I310" s="33"/>
      <c r="J310" s="33"/>
      <c r="K310" s="33"/>
      <c r="L310" s="33"/>
      <c r="M310" s="54">
        <f t="shared" si="104"/>
        <v>5</v>
      </c>
      <c r="N310" s="54"/>
      <c r="O310" s="54">
        <v>5</v>
      </c>
      <c r="P310" s="54"/>
      <c r="Q310" s="68">
        <f t="shared" si="105"/>
        <v>0</v>
      </c>
      <c r="R310" s="68"/>
      <c r="S310" s="68"/>
      <c r="T310" s="68"/>
      <c r="U310" s="129"/>
      <c r="V310" s="54">
        <f t="shared" si="106"/>
        <v>5</v>
      </c>
      <c r="W310" s="74" t="s">
        <v>575</v>
      </c>
    </row>
    <row r="311" s="4" customFormat="1" ht="26.25" customHeight="1" spans="1:23">
      <c r="A311" s="117">
        <v>205001</v>
      </c>
      <c r="B311" s="29" t="s">
        <v>2882</v>
      </c>
      <c r="C311" s="118" t="s">
        <v>2901</v>
      </c>
      <c r="D311" s="135" t="s">
        <v>2902</v>
      </c>
      <c r="E311" s="37" t="s">
        <v>2903</v>
      </c>
      <c r="F311" s="32" t="s">
        <v>990</v>
      </c>
      <c r="G311" s="33">
        <f t="shared" si="103"/>
        <v>130</v>
      </c>
      <c r="H311" s="33">
        <v>130</v>
      </c>
      <c r="I311" s="33"/>
      <c r="J311" s="33"/>
      <c r="K311" s="33">
        <v>-14</v>
      </c>
      <c r="L311" s="33"/>
      <c r="M311" s="54">
        <f t="shared" si="104"/>
        <v>0</v>
      </c>
      <c r="N311" s="54"/>
      <c r="O311" s="54"/>
      <c r="P311" s="54"/>
      <c r="Q311" s="68">
        <f t="shared" si="105"/>
        <v>0</v>
      </c>
      <c r="R311" s="68"/>
      <c r="S311" s="68"/>
      <c r="T311" s="68"/>
      <c r="U311" s="129">
        <v>26.31</v>
      </c>
      <c r="V311" s="33">
        <f t="shared" si="106"/>
        <v>89.69</v>
      </c>
      <c r="W311" s="130" t="s">
        <v>2283</v>
      </c>
    </row>
    <row r="312" s="4" customFormat="1" ht="26.25" customHeight="1" spans="1:23">
      <c r="A312" s="117">
        <v>205001</v>
      </c>
      <c r="B312" s="29" t="s">
        <v>2882</v>
      </c>
      <c r="C312" s="118" t="s">
        <v>2901</v>
      </c>
      <c r="D312" s="135" t="s">
        <v>2902</v>
      </c>
      <c r="E312" s="37" t="s">
        <v>2904</v>
      </c>
      <c r="F312" s="32" t="s">
        <v>2905</v>
      </c>
      <c r="G312" s="33">
        <f t="shared" si="103"/>
        <v>105.5</v>
      </c>
      <c r="H312" s="33">
        <v>105.5</v>
      </c>
      <c r="I312" s="33"/>
      <c r="J312" s="33"/>
      <c r="K312" s="33"/>
      <c r="L312" s="33"/>
      <c r="M312" s="54">
        <f t="shared" si="104"/>
        <v>0</v>
      </c>
      <c r="N312" s="54"/>
      <c r="O312" s="54"/>
      <c r="P312" s="54"/>
      <c r="Q312" s="68">
        <f t="shared" si="105"/>
        <v>0</v>
      </c>
      <c r="R312" s="68"/>
      <c r="S312" s="68"/>
      <c r="T312" s="68"/>
      <c r="U312" s="129"/>
      <c r="V312" s="33">
        <f t="shared" si="106"/>
        <v>105.5</v>
      </c>
      <c r="W312" s="130" t="s">
        <v>2283</v>
      </c>
    </row>
    <row r="313" s="4" customFormat="1" ht="26.25" customHeight="1" spans="1:23">
      <c r="A313" s="117">
        <v>205001</v>
      </c>
      <c r="B313" s="29" t="s">
        <v>2882</v>
      </c>
      <c r="C313" s="118" t="s">
        <v>2901</v>
      </c>
      <c r="D313" s="135" t="s">
        <v>2902</v>
      </c>
      <c r="E313" s="37" t="s">
        <v>2906</v>
      </c>
      <c r="F313" s="32" t="s">
        <v>2907</v>
      </c>
      <c r="G313" s="33">
        <f t="shared" si="103"/>
        <v>25.5</v>
      </c>
      <c r="H313" s="33">
        <v>25.5</v>
      </c>
      <c r="I313" s="33"/>
      <c r="J313" s="33"/>
      <c r="K313" s="33"/>
      <c r="L313" s="33"/>
      <c r="M313" s="54">
        <f t="shared" si="104"/>
        <v>0</v>
      </c>
      <c r="N313" s="54"/>
      <c r="O313" s="54"/>
      <c r="P313" s="54"/>
      <c r="Q313" s="68">
        <f t="shared" si="105"/>
        <v>0</v>
      </c>
      <c r="R313" s="68"/>
      <c r="S313" s="68"/>
      <c r="T313" s="68"/>
      <c r="U313" s="129"/>
      <c r="V313" s="33">
        <f t="shared" si="106"/>
        <v>25.5</v>
      </c>
      <c r="W313" s="130" t="s">
        <v>2283</v>
      </c>
    </row>
    <row r="314" s="4" customFormat="1" ht="26.25" customHeight="1" spans="1:23">
      <c r="A314" s="117">
        <v>205001</v>
      </c>
      <c r="B314" s="29" t="s">
        <v>2882</v>
      </c>
      <c r="C314" s="118" t="s">
        <v>2908</v>
      </c>
      <c r="D314" s="135" t="s">
        <v>2909</v>
      </c>
      <c r="E314" s="37" t="s">
        <v>2910</v>
      </c>
      <c r="F314" s="48" t="s">
        <v>2909</v>
      </c>
      <c r="G314" s="33">
        <f t="shared" si="103"/>
        <v>183.12</v>
      </c>
      <c r="H314" s="33">
        <v>183.12</v>
      </c>
      <c r="I314" s="33"/>
      <c r="J314" s="33"/>
      <c r="K314" s="33"/>
      <c r="L314" s="33"/>
      <c r="M314" s="54">
        <f t="shared" si="104"/>
        <v>0</v>
      </c>
      <c r="N314" s="54"/>
      <c r="O314" s="54"/>
      <c r="P314" s="54"/>
      <c r="Q314" s="68">
        <f t="shared" si="105"/>
        <v>0</v>
      </c>
      <c r="R314" s="68"/>
      <c r="S314" s="68"/>
      <c r="T314" s="68"/>
      <c r="U314" s="129"/>
      <c r="V314" s="33">
        <f t="shared" si="106"/>
        <v>183.12</v>
      </c>
      <c r="W314" s="130" t="s">
        <v>2283</v>
      </c>
    </row>
    <row r="315" s="4" customFormat="1" ht="26.25" customHeight="1" spans="1:23">
      <c r="A315" s="117">
        <v>205001</v>
      </c>
      <c r="B315" s="29" t="s">
        <v>2882</v>
      </c>
      <c r="C315" s="118" t="s">
        <v>2908</v>
      </c>
      <c r="D315" s="86" t="s">
        <v>2909</v>
      </c>
      <c r="E315" s="127" t="s">
        <v>2910</v>
      </c>
      <c r="F315" s="38" t="s">
        <v>2909</v>
      </c>
      <c r="G315" s="33">
        <f t="shared" si="103"/>
        <v>0</v>
      </c>
      <c r="H315" s="33"/>
      <c r="I315" s="33"/>
      <c r="J315" s="33"/>
      <c r="K315" s="33"/>
      <c r="L315" s="33"/>
      <c r="M315" s="54">
        <f t="shared" si="104"/>
        <v>0</v>
      </c>
      <c r="N315" s="54"/>
      <c r="O315" s="54"/>
      <c r="P315" s="54"/>
      <c r="Q315" s="68">
        <f t="shared" si="105"/>
        <v>18.733</v>
      </c>
      <c r="R315" s="68"/>
      <c r="S315" s="68">
        <v>18.733</v>
      </c>
      <c r="T315" s="68"/>
      <c r="U315" s="129"/>
      <c r="V315" s="68">
        <f t="shared" si="106"/>
        <v>18.733</v>
      </c>
      <c r="W315" s="91" t="s">
        <v>2911</v>
      </c>
    </row>
    <row r="316" s="4" customFormat="1" ht="26.25" customHeight="1" spans="1:23">
      <c r="A316" s="117">
        <v>205001</v>
      </c>
      <c r="B316" s="29" t="s">
        <v>2882</v>
      </c>
      <c r="C316" s="118" t="s">
        <v>2908</v>
      </c>
      <c r="D316" s="82" t="s">
        <v>2909</v>
      </c>
      <c r="E316" s="127" t="s">
        <v>2910</v>
      </c>
      <c r="F316" s="35" t="s">
        <v>2909</v>
      </c>
      <c r="G316" s="33">
        <f t="shared" si="103"/>
        <v>0</v>
      </c>
      <c r="H316" s="33"/>
      <c r="I316" s="33"/>
      <c r="J316" s="33"/>
      <c r="K316" s="33"/>
      <c r="L316" s="33"/>
      <c r="M316" s="54">
        <f t="shared" si="104"/>
        <v>89</v>
      </c>
      <c r="N316" s="54"/>
      <c r="O316" s="54">
        <v>89</v>
      </c>
      <c r="P316" s="54"/>
      <c r="Q316" s="68">
        <f t="shared" si="105"/>
        <v>0</v>
      </c>
      <c r="R316" s="68"/>
      <c r="S316" s="68"/>
      <c r="T316" s="68"/>
      <c r="U316" s="129"/>
      <c r="V316" s="54">
        <f t="shared" si="106"/>
        <v>89</v>
      </c>
      <c r="W316" s="74" t="s">
        <v>567</v>
      </c>
    </row>
    <row r="317" s="4" customFormat="1" ht="26.25" customHeight="1" spans="1:23">
      <c r="A317" s="117">
        <v>205001</v>
      </c>
      <c r="B317" s="29" t="s">
        <v>2882</v>
      </c>
      <c r="C317" s="118" t="s">
        <v>2908</v>
      </c>
      <c r="D317" s="82" t="s">
        <v>2909</v>
      </c>
      <c r="E317" s="37" t="s">
        <v>2912</v>
      </c>
      <c r="F317" s="48" t="s">
        <v>2913</v>
      </c>
      <c r="G317" s="33">
        <f t="shared" si="103"/>
        <v>350</v>
      </c>
      <c r="H317" s="33"/>
      <c r="I317" s="33"/>
      <c r="J317" s="33">
        <v>350</v>
      </c>
      <c r="K317" s="33"/>
      <c r="L317" s="33"/>
      <c r="M317" s="54">
        <f t="shared" si="104"/>
        <v>-350</v>
      </c>
      <c r="N317" s="54">
        <v>-350</v>
      </c>
      <c r="O317" s="54"/>
      <c r="P317" s="54"/>
      <c r="Q317" s="68">
        <f t="shared" si="105"/>
        <v>0</v>
      </c>
      <c r="R317" s="68"/>
      <c r="S317" s="68"/>
      <c r="T317" s="68"/>
      <c r="U317" s="129"/>
      <c r="V317" s="54">
        <f t="shared" si="106"/>
        <v>0</v>
      </c>
      <c r="W317" s="92" t="s">
        <v>2283</v>
      </c>
    </row>
    <row r="318" s="4" customFormat="1" ht="26.25" customHeight="1" spans="1:23">
      <c r="A318" s="117">
        <v>205001</v>
      </c>
      <c r="B318" s="29" t="s">
        <v>2882</v>
      </c>
      <c r="C318" s="118" t="s">
        <v>2914</v>
      </c>
      <c r="D318" s="29" t="s">
        <v>2915</v>
      </c>
      <c r="E318" s="30" t="s">
        <v>2916</v>
      </c>
      <c r="F318" s="32" t="s">
        <v>2917</v>
      </c>
      <c r="G318" s="33">
        <f t="shared" si="103"/>
        <v>42.39</v>
      </c>
      <c r="H318" s="33">
        <v>42.39</v>
      </c>
      <c r="I318" s="33"/>
      <c r="J318" s="33"/>
      <c r="K318" s="33"/>
      <c r="L318" s="33"/>
      <c r="M318" s="54">
        <f t="shared" si="104"/>
        <v>0</v>
      </c>
      <c r="N318" s="54"/>
      <c r="O318" s="54"/>
      <c r="P318" s="54"/>
      <c r="Q318" s="68">
        <f t="shared" si="105"/>
        <v>0</v>
      </c>
      <c r="R318" s="68"/>
      <c r="S318" s="68"/>
      <c r="T318" s="68"/>
      <c r="U318" s="129"/>
      <c r="V318" s="33">
        <f t="shared" si="106"/>
        <v>42.39</v>
      </c>
      <c r="W318" s="130" t="s">
        <v>2283</v>
      </c>
    </row>
    <row r="319" s="4" customFormat="1" ht="26.25" customHeight="1" spans="1:23">
      <c r="A319" s="117">
        <v>205001</v>
      </c>
      <c r="B319" s="29" t="s">
        <v>2882</v>
      </c>
      <c r="C319" s="49" t="s">
        <v>2914</v>
      </c>
      <c r="D319" s="88" t="s">
        <v>2915</v>
      </c>
      <c r="E319" s="136" t="s">
        <v>2918</v>
      </c>
      <c r="F319" s="38" t="s">
        <v>2919</v>
      </c>
      <c r="G319" s="33">
        <f t="shared" si="103"/>
        <v>0</v>
      </c>
      <c r="H319" s="33"/>
      <c r="I319" s="33"/>
      <c r="J319" s="33"/>
      <c r="K319" s="33"/>
      <c r="L319" s="33"/>
      <c r="M319" s="54">
        <f t="shared" si="104"/>
        <v>0</v>
      </c>
      <c r="N319" s="54"/>
      <c r="O319" s="54"/>
      <c r="P319" s="54"/>
      <c r="Q319" s="68">
        <f t="shared" si="105"/>
        <v>0.34</v>
      </c>
      <c r="R319" s="68"/>
      <c r="S319" s="68">
        <v>10</v>
      </c>
      <c r="T319" s="73">
        <v>9.66</v>
      </c>
      <c r="U319" s="129"/>
      <c r="V319" s="68">
        <f t="shared" si="106"/>
        <v>0.34</v>
      </c>
      <c r="W319" s="91" t="s">
        <v>2920</v>
      </c>
    </row>
    <row r="320" s="4" customFormat="1" ht="26.25" customHeight="1" spans="1:23">
      <c r="A320" s="117">
        <v>205001</v>
      </c>
      <c r="B320" s="29" t="s">
        <v>2882</v>
      </c>
      <c r="C320" s="35" t="s">
        <v>2921</v>
      </c>
      <c r="D320" s="76" t="s">
        <v>2922</v>
      </c>
      <c r="E320" s="127" t="s">
        <v>2923</v>
      </c>
      <c r="F320" s="35" t="s">
        <v>2924</v>
      </c>
      <c r="G320" s="33">
        <f t="shared" si="103"/>
        <v>0</v>
      </c>
      <c r="H320" s="33"/>
      <c r="I320" s="33"/>
      <c r="J320" s="33"/>
      <c r="K320" s="33"/>
      <c r="L320" s="33"/>
      <c r="M320" s="54">
        <f t="shared" si="104"/>
        <v>587.31</v>
      </c>
      <c r="N320" s="54"/>
      <c r="O320" s="138">
        <f>1100-12.69-450-50</f>
        <v>587.31</v>
      </c>
      <c r="P320" s="138"/>
      <c r="Q320" s="68">
        <f t="shared" si="105"/>
        <v>0</v>
      </c>
      <c r="R320" s="68"/>
      <c r="S320" s="68"/>
      <c r="T320" s="68"/>
      <c r="U320" s="129"/>
      <c r="V320" s="54">
        <f t="shared" si="106"/>
        <v>587.31</v>
      </c>
      <c r="W320" s="92" t="s">
        <v>624</v>
      </c>
    </row>
    <row r="321" s="4" customFormat="1" ht="26.25" customHeight="1" spans="1:23">
      <c r="A321" s="117">
        <v>205001</v>
      </c>
      <c r="B321" s="29" t="s">
        <v>2882</v>
      </c>
      <c r="C321" s="118" t="s">
        <v>2113</v>
      </c>
      <c r="D321" s="82" t="s">
        <v>2114</v>
      </c>
      <c r="E321" s="37" t="s">
        <v>2899</v>
      </c>
      <c r="F321" s="32" t="s">
        <v>2925</v>
      </c>
      <c r="G321" s="33">
        <f t="shared" si="103"/>
        <v>30</v>
      </c>
      <c r="H321" s="33"/>
      <c r="I321" s="33"/>
      <c r="J321" s="33">
        <v>30</v>
      </c>
      <c r="K321" s="33"/>
      <c r="L321" s="33"/>
      <c r="M321" s="54">
        <f t="shared" si="104"/>
        <v>-30</v>
      </c>
      <c r="N321" s="54">
        <v>-30</v>
      </c>
      <c r="O321" s="54"/>
      <c r="P321" s="54"/>
      <c r="Q321" s="68">
        <f t="shared" si="105"/>
        <v>0</v>
      </c>
      <c r="R321" s="68"/>
      <c r="S321" s="68"/>
      <c r="T321" s="68"/>
      <c r="U321" s="129"/>
      <c r="V321" s="54">
        <f t="shared" si="106"/>
        <v>0</v>
      </c>
      <c r="W321" s="92" t="s">
        <v>2283</v>
      </c>
    </row>
    <row r="322" s="4" customFormat="1" ht="26.25" customHeight="1" spans="1:23">
      <c r="A322" s="117">
        <v>205001</v>
      </c>
      <c r="B322" s="29" t="s">
        <v>2882</v>
      </c>
      <c r="C322" s="118" t="s">
        <v>2926</v>
      </c>
      <c r="D322" s="29" t="s">
        <v>2927</v>
      </c>
      <c r="E322" s="37" t="s">
        <v>2928</v>
      </c>
      <c r="F322" s="32" t="s">
        <v>991</v>
      </c>
      <c r="G322" s="33">
        <f t="shared" si="103"/>
        <v>300</v>
      </c>
      <c r="H322" s="33">
        <v>300</v>
      </c>
      <c r="I322" s="33"/>
      <c r="J322" s="33"/>
      <c r="K322" s="33"/>
      <c r="L322" s="33"/>
      <c r="M322" s="54">
        <f t="shared" si="104"/>
        <v>0</v>
      </c>
      <c r="N322" s="54"/>
      <c r="O322" s="54"/>
      <c r="P322" s="54"/>
      <c r="Q322" s="68">
        <f t="shared" si="105"/>
        <v>0</v>
      </c>
      <c r="R322" s="68"/>
      <c r="S322" s="68"/>
      <c r="T322" s="68"/>
      <c r="U322" s="129">
        <v>33.55</v>
      </c>
      <c r="V322" s="33">
        <f t="shared" si="106"/>
        <v>266.45</v>
      </c>
      <c r="W322" s="130" t="s">
        <v>2283</v>
      </c>
    </row>
    <row r="323" s="4" customFormat="1" ht="26.25" customHeight="1" spans="1:23">
      <c r="A323" s="117">
        <v>205001</v>
      </c>
      <c r="B323" s="29" t="s">
        <v>2882</v>
      </c>
      <c r="C323" s="118" t="s">
        <v>2926</v>
      </c>
      <c r="D323" s="82" t="s">
        <v>2927</v>
      </c>
      <c r="E323" s="127" t="s">
        <v>2929</v>
      </c>
      <c r="F323" s="35" t="s">
        <v>2930</v>
      </c>
      <c r="G323" s="33">
        <f t="shared" si="103"/>
        <v>0</v>
      </c>
      <c r="H323" s="33"/>
      <c r="I323" s="33"/>
      <c r="J323" s="33"/>
      <c r="K323" s="33"/>
      <c r="L323" s="33"/>
      <c r="M323" s="54">
        <f t="shared" si="104"/>
        <v>79</v>
      </c>
      <c r="N323" s="54"/>
      <c r="O323" s="54">
        <v>79</v>
      </c>
      <c r="P323" s="54"/>
      <c r="Q323" s="68">
        <f t="shared" si="105"/>
        <v>0</v>
      </c>
      <c r="R323" s="68"/>
      <c r="S323" s="68"/>
      <c r="T323" s="68"/>
      <c r="U323" s="129"/>
      <c r="V323" s="54">
        <f t="shared" si="106"/>
        <v>79</v>
      </c>
      <c r="W323" s="92" t="s">
        <v>570</v>
      </c>
    </row>
    <row r="324" s="4" customFormat="1" ht="26.25" customHeight="1" spans="1:23">
      <c r="A324" s="117">
        <v>205001</v>
      </c>
      <c r="B324" s="29" t="s">
        <v>2882</v>
      </c>
      <c r="C324" s="118" t="s">
        <v>2926</v>
      </c>
      <c r="D324" s="82" t="s">
        <v>2927</v>
      </c>
      <c r="E324" s="127" t="s">
        <v>2929</v>
      </c>
      <c r="F324" s="35" t="s">
        <v>2930</v>
      </c>
      <c r="G324" s="33">
        <f t="shared" si="103"/>
        <v>0</v>
      </c>
      <c r="H324" s="33"/>
      <c r="I324" s="33"/>
      <c r="J324" s="33"/>
      <c r="K324" s="33"/>
      <c r="L324" s="33"/>
      <c r="M324" s="54">
        <f t="shared" si="104"/>
        <v>26</v>
      </c>
      <c r="N324" s="54"/>
      <c r="O324" s="54">
        <v>26</v>
      </c>
      <c r="P324" s="54"/>
      <c r="Q324" s="68">
        <f t="shared" si="105"/>
        <v>0</v>
      </c>
      <c r="R324" s="68"/>
      <c r="S324" s="68"/>
      <c r="T324" s="68"/>
      <c r="U324" s="129"/>
      <c r="V324" s="54">
        <f t="shared" si="106"/>
        <v>26</v>
      </c>
      <c r="W324" s="92" t="s">
        <v>711</v>
      </c>
    </row>
    <row r="325" s="4" customFormat="1" ht="26.25" customHeight="1" spans="1:23">
      <c r="A325" s="117">
        <v>205001</v>
      </c>
      <c r="B325" s="29" t="s">
        <v>2882</v>
      </c>
      <c r="C325" s="49" t="s">
        <v>2931</v>
      </c>
      <c r="D325" s="88" t="s">
        <v>2932</v>
      </c>
      <c r="E325" s="136" t="s">
        <v>2933</v>
      </c>
      <c r="F325" s="38" t="s">
        <v>2934</v>
      </c>
      <c r="G325" s="33">
        <f t="shared" si="103"/>
        <v>0</v>
      </c>
      <c r="H325" s="33"/>
      <c r="I325" s="33"/>
      <c r="J325" s="33"/>
      <c r="K325" s="33"/>
      <c r="L325" s="33"/>
      <c r="M325" s="54">
        <f t="shared" si="104"/>
        <v>0</v>
      </c>
      <c r="N325" s="54"/>
      <c r="O325" s="54"/>
      <c r="P325" s="54"/>
      <c r="Q325" s="68">
        <f t="shared" si="105"/>
        <v>1</v>
      </c>
      <c r="R325" s="68"/>
      <c r="S325" s="68">
        <v>1</v>
      </c>
      <c r="T325" s="68"/>
      <c r="U325" s="129"/>
      <c r="V325" s="68">
        <f t="shared" si="106"/>
        <v>1</v>
      </c>
      <c r="W325" s="91" t="s">
        <v>2935</v>
      </c>
    </row>
    <row r="326" s="4" customFormat="1" ht="26.25" customHeight="1" spans="1:23">
      <c r="A326" s="117">
        <v>205001</v>
      </c>
      <c r="B326" s="29" t="s">
        <v>2882</v>
      </c>
      <c r="C326" s="118" t="s">
        <v>2931</v>
      </c>
      <c r="D326" s="82" t="s">
        <v>2932</v>
      </c>
      <c r="E326" s="37" t="s">
        <v>2929</v>
      </c>
      <c r="F326" s="32" t="s">
        <v>2936</v>
      </c>
      <c r="G326" s="33">
        <f t="shared" si="103"/>
        <v>130</v>
      </c>
      <c r="H326" s="33"/>
      <c r="I326" s="33"/>
      <c r="J326" s="33">
        <v>130</v>
      </c>
      <c r="K326" s="33"/>
      <c r="L326" s="33"/>
      <c r="M326" s="54">
        <f t="shared" si="104"/>
        <v>-130</v>
      </c>
      <c r="N326" s="54">
        <v>-130</v>
      </c>
      <c r="O326" s="54"/>
      <c r="P326" s="54"/>
      <c r="Q326" s="68">
        <f t="shared" si="105"/>
        <v>0</v>
      </c>
      <c r="R326" s="68"/>
      <c r="S326" s="68"/>
      <c r="T326" s="68"/>
      <c r="U326" s="129"/>
      <c r="V326" s="54">
        <f t="shared" si="106"/>
        <v>0</v>
      </c>
      <c r="W326" s="92" t="s">
        <v>2283</v>
      </c>
    </row>
    <row r="327" s="4" customFormat="1" ht="26.25" customHeight="1" spans="1:23">
      <c r="A327" s="117">
        <v>205001</v>
      </c>
      <c r="B327" s="29" t="s">
        <v>2882</v>
      </c>
      <c r="C327" s="118" t="s">
        <v>2885</v>
      </c>
      <c r="D327" s="29" t="s">
        <v>2083</v>
      </c>
      <c r="E327" s="37"/>
      <c r="F327" s="32" t="s">
        <v>2937</v>
      </c>
      <c r="G327" s="33">
        <f t="shared" si="103"/>
        <v>0</v>
      </c>
      <c r="H327" s="33"/>
      <c r="I327" s="33"/>
      <c r="J327" s="33"/>
      <c r="K327" s="33">
        <v>20</v>
      </c>
      <c r="L327" s="33">
        <v>0</v>
      </c>
      <c r="M327" s="54">
        <f t="shared" si="104"/>
        <v>0</v>
      </c>
      <c r="N327" s="54"/>
      <c r="O327" s="54"/>
      <c r="P327" s="54"/>
      <c r="Q327" s="68">
        <f t="shared" si="105"/>
        <v>0</v>
      </c>
      <c r="R327" s="68"/>
      <c r="S327" s="68"/>
      <c r="T327" s="68"/>
      <c r="U327" s="129"/>
      <c r="V327" s="33">
        <f t="shared" si="106"/>
        <v>20</v>
      </c>
      <c r="W327" s="130" t="s">
        <v>2283</v>
      </c>
    </row>
    <row r="328" s="4" customFormat="1" ht="26.25" customHeight="1" spans="1:23">
      <c r="A328" s="115">
        <v>205002</v>
      </c>
      <c r="B328" s="23" t="s">
        <v>1320</v>
      </c>
      <c r="C328" s="116"/>
      <c r="D328" s="116"/>
      <c r="E328" s="84"/>
      <c r="F328" s="26"/>
      <c r="G328" s="27">
        <f t="shared" ref="G328:V328" si="107">SUM(G329:G337)</f>
        <v>9</v>
      </c>
      <c r="H328" s="27">
        <f t="shared" si="107"/>
        <v>9</v>
      </c>
      <c r="I328" s="27">
        <f t="shared" si="107"/>
        <v>0</v>
      </c>
      <c r="J328" s="27">
        <f t="shared" si="107"/>
        <v>0</v>
      </c>
      <c r="K328" s="27">
        <f t="shared" si="107"/>
        <v>0</v>
      </c>
      <c r="L328" s="27">
        <f t="shared" si="107"/>
        <v>0</v>
      </c>
      <c r="M328" s="27">
        <f t="shared" si="107"/>
        <v>136.56</v>
      </c>
      <c r="N328" s="27">
        <f t="shared" si="107"/>
        <v>0</v>
      </c>
      <c r="O328" s="27">
        <f t="shared" si="107"/>
        <v>136.56</v>
      </c>
      <c r="P328" s="27">
        <f t="shared" si="107"/>
        <v>0</v>
      </c>
      <c r="Q328" s="27">
        <f t="shared" si="107"/>
        <v>6.76</v>
      </c>
      <c r="R328" s="27">
        <f t="shared" si="107"/>
        <v>0</v>
      </c>
      <c r="S328" s="27">
        <f t="shared" si="107"/>
        <v>6.76</v>
      </c>
      <c r="T328" s="27">
        <f t="shared" si="107"/>
        <v>0</v>
      </c>
      <c r="U328" s="27">
        <f t="shared" si="107"/>
        <v>9</v>
      </c>
      <c r="V328" s="27">
        <f t="shared" si="107"/>
        <v>143.32</v>
      </c>
      <c r="W328" s="67"/>
    </row>
    <row r="329" s="4" customFormat="1" ht="26.25" customHeight="1" spans="1:23">
      <c r="A329" s="117">
        <v>205002</v>
      </c>
      <c r="B329" s="29" t="s">
        <v>1721</v>
      </c>
      <c r="C329" s="118" t="s">
        <v>1722</v>
      </c>
      <c r="D329" s="82" t="s">
        <v>1723</v>
      </c>
      <c r="E329" s="127" t="s">
        <v>2938</v>
      </c>
      <c r="F329" s="35" t="s">
        <v>2939</v>
      </c>
      <c r="G329" s="33">
        <f t="shared" ref="G329:G337" si="108">SUM(H329:J329)</f>
        <v>0</v>
      </c>
      <c r="H329" s="33"/>
      <c r="I329" s="33"/>
      <c r="J329" s="33"/>
      <c r="K329" s="33"/>
      <c r="L329" s="33"/>
      <c r="M329" s="54">
        <f t="shared" ref="M329:M337" si="109">N329+O329-P329</f>
        <v>79</v>
      </c>
      <c r="N329" s="54"/>
      <c r="O329" s="54">
        <v>79</v>
      </c>
      <c r="P329" s="54"/>
      <c r="Q329" s="68">
        <f t="shared" ref="Q329:Q337" si="110">R329+S329-T329</f>
        <v>0</v>
      </c>
      <c r="R329" s="68"/>
      <c r="S329" s="68"/>
      <c r="T329" s="68"/>
      <c r="U329" s="129"/>
      <c r="V329" s="54">
        <f t="shared" ref="V329:V337" si="111">G329+K329+L329+M329+Q329-U329</f>
        <v>79</v>
      </c>
      <c r="W329" s="92" t="s">
        <v>614</v>
      </c>
    </row>
    <row r="330" s="4" customFormat="1" ht="26.25" customHeight="1" spans="1:23">
      <c r="A330" s="117">
        <v>205002</v>
      </c>
      <c r="B330" s="29" t="s">
        <v>1721</v>
      </c>
      <c r="C330" s="118" t="s">
        <v>1722</v>
      </c>
      <c r="D330" s="82" t="s">
        <v>1723</v>
      </c>
      <c r="E330" s="127" t="s">
        <v>2938</v>
      </c>
      <c r="F330" s="35" t="s">
        <v>2939</v>
      </c>
      <c r="G330" s="33">
        <f t="shared" si="108"/>
        <v>0</v>
      </c>
      <c r="H330" s="33"/>
      <c r="I330" s="33"/>
      <c r="J330" s="33"/>
      <c r="K330" s="33"/>
      <c r="L330" s="33"/>
      <c r="M330" s="54">
        <f t="shared" si="109"/>
        <v>1</v>
      </c>
      <c r="N330" s="54"/>
      <c r="O330" s="54">
        <v>1</v>
      </c>
      <c r="P330" s="54"/>
      <c r="Q330" s="68">
        <f t="shared" si="110"/>
        <v>0</v>
      </c>
      <c r="R330" s="68"/>
      <c r="S330" s="68"/>
      <c r="T330" s="68"/>
      <c r="U330" s="129"/>
      <c r="V330" s="54">
        <f t="shared" si="111"/>
        <v>1</v>
      </c>
      <c r="W330" s="92" t="s">
        <v>713</v>
      </c>
    </row>
    <row r="331" s="4" customFormat="1" ht="26.25" customHeight="1" spans="1:23">
      <c r="A331" s="117">
        <v>205002</v>
      </c>
      <c r="B331" s="29" t="s">
        <v>1721</v>
      </c>
      <c r="C331" s="118" t="s">
        <v>1722</v>
      </c>
      <c r="D331" s="86" t="s">
        <v>1723</v>
      </c>
      <c r="E331" s="127" t="s">
        <v>2940</v>
      </c>
      <c r="F331" s="38" t="s">
        <v>2941</v>
      </c>
      <c r="G331" s="33">
        <f t="shared" si="108"/>
        <v>0</v>
      </c>
      <c r="H331" s="33"/>
      <c r="I331" s="33"/>
      <c r="J331" s="33"/>
      <c r="K331" s="33"/>
      <c r="L331" s="33"/>
      <c r="M331" s="54">
        <f t="shared" si="109"/>
        <v>0</v>
      </c>
      <c r="N331" s="54"/>
      <c r="O331" s="54"/>
      <c r="P331" s="54"/>
      <c r="Q331" s="68">
        <f t="shared" si="110"/>
        <v>6.76</v>
      </c>
      <c r="R331" s="68"/>
      <c r="S331" s="68">
        <v>6.76</v>
      </c>
      <c r="T331" s="68"/>
      <c r="U331" s="129"/>
      <c r="V331" s="68">
        <f t="shared" si="111"/>
        <v>6.76</v>
      </c>
      <c r="W331" s="91" t="s">
        <v>2942</v>
      </c>
    </row>
    <row r="332" s="4" customFormat="1" ht="26.25" customHeight="1" spans="1:23">
      <c r="A332" s="117">
        <v>205002</v>
      </c>
      <c r="B332" s="29" t="s">
        <v>1721</v>
      </c>
      <c r="C332" s="118" t="s">
        <v>1722</v>
      </c>
      <c r="D332" s="120" t="s">
        <v>1723</v>
      </c>
      <c r="E332" s="37" t="s">
        <v>2943</v>
      </c>
      <c r="F332" s="32" t="s">
        <v>993</v>
      </c>
      <c r="G332" s="33">
        <f t="shared" si="108"/>
        <v>9</v>
      </c>
      <c r="H332" s="33">
        <v>9</v>
      </c>
      <c r="I332" s="33"/>
      <c r="J332" s="33"/>
      <c r="K332" s="33"/>
      <c r="L332" s="33"/>
      <c r="M332" s="54">
        <f t="shared" si="109"/>
        <v>0</v>
      </c>
      <c r="N332" s="54"/>
      <c r="O332" s="54"/>
      <c r="P332" s="54"/>
      <c r="Q332" s="68">
        <f t="shared" si="110"/>
        <v>0</v>
      </c>
      <c r="R332" s="68"/>
      <c r="S332" s="68"/>
      <c r="T332" s="68"/>
      <c r="U332" s="129">
        <v>9</v>
      </c>
      <c r="V332" s="70">
        <f t="shared" si="111"/>
        <v>0</v>
      </c>
      <c r="W332" s="130" t="s">
        <v>2283</v>
      </c>
    </row>
    <row r="333" s="4" customFormat="1" ht="26.25" customHeight="1" spans="1:23">
      <c r="A333" s="117">
        <v>205002</v>
      </c>
      <c r="B333" s="29" t="s">
        <v>1721</v>
      </c>
      <c r="C333" s="49" t="s">
        <v>2901</v>
      </c>
      <c r="D333" s="50" t="s">
        <v>2902</v>
      </c>
      <c r="E333" s="136" t="s">
        <v>2938</v>
      </c>
      <c r="F333" s="49" t="s">
        <v>2939</v>
      </c>
      <c r="G333" s="33">
        <f t="shared" si="108"/>
        <v>0</v>
      </c>
      <c r="H333" s="33"/>
      <c r="I333" s="33"/>
      <c r="J333" s="33"/>
      <c r="K333" s="33"/>
      <c r="L333" s="33"/>
      <c r="M333" s="54">
        <f t="shared" si="109"/>
        <v>14.56</v>
      </c>
      <c r="N333" s="54"/>
      <c r="O333" s="54">
        <v>14.56</v>
      </c>
      <c r="P333" s="54"/>
      <c r="Q333" s="68">
        <f t="shared" si="110"/>
        <v>0</v>
      </c>
      <c r="R333" s="68"/>
      <c r="S333" s="68"/>
      <c r="T333" s="68"/>
      <c r="U333" s="129"/>
      <c r="V333" s="54">
        <f t="shared" si="111"/>
        <v>14.56</v>
      </c>
      <c r="W333" s="92" t="s">
        <v>565</v>
      </c>
    </row>
    <row r="334" s="4" customFormat="1" ht="26.25" customHeight="1" spans="1:23">
      <c r="A334" s="117">
        <v>205002</v>
      </c>
      <c r="B334" s="29" t="s">
        <v>1721</v>
      </c>
      <c r="C334" s="35" t="s">
        <v>2908</v>
      </c>
      <c r="D334" s="76" t="s">
        <v>2909</v>
      </c>
      <c r="E334" s="127" t="s">
        <v>2944</v>
      </c>
      <c r="F334" s="35" t="s">
        <v>2909</v>
      </c>
      <c r="G334" s="33">
        <f t="shared" si="108"/>
        <v>0</v>
      </c>
      <c r="H334" s="33"/>
      <c r="I334" s="33"/>
      <c r="J334" s="33"/>
      <c r="K334" s="33"/>
      <c r="L334" s="33"/>
      <c r="M334" s="54">
        <f t="shared" si="109"/>
        <v>30</v>
      </c>
      <c r="N334" s="54"/>
      <c r="O334" s="54">
        <v>30</v>
      </c>
      <c r="P334" s="54"/>
      <c r="Q334" s="68">
        <f t="shared" si="110"/>
        <v>0</v>
      </c>
      <c r="R334" s="68"/>
      <c r="S334" s="68"/>
      <c r="T334" s="68"/>
      <c r="U334" s="129"/>
      <c r="V334" s="54">
        <f t="shared" si="111"/>
        <v>30</v>
      </c>
      <c r="W334" s="92" t="s">
        <v>573</v>
      </c>
    </row>
    <row r="335" s="4" customFormat="1" ht="26.25" customHeight="1" spans="1:23">
      <c r="A335" s="117">
        <v>205002</v>
      </c>
      <c r="B335" s="29" t="s">
        <v>1721</v>
      </c>
      <c r="C335" s="35" t="s">
        <v>2908</v>
      </c>
      <c r="D335" s="76" t="s">
        <v>2909</v>
      </c>
      <c r="E335" s="127" t="s">
        <v>2944</v>
      </c>
      <c r="F335" s="35" t="s">
        <v>2909</v>
      </c>
      <c r="G335" s="33">
        <f t="shared" si="108"/>
        <v>0</v>
      </c>
      <c r="H335" s="33"/>
      <c r="I335" s="33"/>
      <c r="J335" s="33"/>
      <c r="K335" s="33"/>
      <c r="L335" s="33"/>
      <c r="M335" s="54">
        <f t="shared" si="109"/>
        <v>10</v>
      </c>
      <c r="N335" s="54"/>
      <c r="O335" s="54">
        <v>10</v>
      </c>
      <c r="P335" s="54"/>
      <c r="Q335" s="68">
        <f t="shared" si="110"/>
        <v>0</v>
      </c>
      <c r="R335" s="68"/>
      <c r="S335" s="68"/>
      <c r="T335" s="68"/>
      <c r="U335" s="129"/>
      <c r="V335" s="54">
        <f t="shared" si="111"/>
        <v>10</v>
      </c>
      <c r="W335" s="74" t="s">
        <v>567</v>
      </c>
    </row>
    <row r="336" s="4" customFormat="1" ht="26.25" customHeight="1" spans="1:23">
      <c r="A336" s="117">
        <v>205002</v>
      </c>
      <c r="B336" s="29" t="s">
        <v>1721</v>
      </c>
      <c r="C336" s="35" t="s">
        <v>2908</v>
      </c>
      <c r="D336" s="76" t="s">
        <v>2909</v>
      </c>
      <c r="E336" s="127" t="s">
        <v>2944</v>
      </c>
      <c r="F336" s="35" t="s">
        <v>2909</v>
      </c>
      <c r="G336" s="33">
        <f t="shared" si="108"/>
        <v>0</v>
      </c>
      <c r="H336" s="33"/>
      <c r="I336" s="33"/>
      <c r="J336" s="33"/>
      <c r="K336" s="33"/>
      <c r="L336" s="33"/>
      <c r="M336" s="54">
        <f t="shared" si="109"/>
        <v>1</v>
      </c>
      <c r="N336" s="54"/>
      <c r="O336" s="54">
        <v>1</v>
      </c>
      <c r="P336" s="54"/>
      <c r="Q336" s="68">
        <f t="shared" si="110"/>
        <v>0</v>
      </c>
      <c r="R336" s="68"/>
      <c r="S336" s="68"/>
      <c r="T336" s="68"/>
      <c r="U336" s="129"/>
      <c r="V336" s="54">
        <f t="shared" si="111"/>
        <v>1</v>
      </c>
      <c r="W336" s="74" t="s">
        <v>685</v>
      </c>
    </row>
    <row r="337" s="4" customFormat="1" ht="26.25" customHeight="1" spans="1:23">
      <c r="A337" s="117">
        <v>205002</v>
      </c>
      <c r="B337" s="29" t="s">
        <v>1721</v>
      </c>
      <c r="C337" s="35" t="s">
        <v>2229</v>
      </c>
      <c r="D337" s="76" t="s">
        <v>2227</v>
      </c>
      <c r="E337" s="127" t="s">
        <v>2938</v>
      </c>
      <c r="F337" s="35" t="s">
        <v>2939</v>
      </c>
      <c r="G337" s="33">
        <f t="shared" si="108"/>
        <v>0</v>
      </c>
      <c r="H337" s="33"/>
      <c r="I337" s="33"/>
      <c r="J337" s="33"/>
      <c r="K337" s="33"/>
      <c r="L337" s="33"/>
      <c r="M337" s="54">
        <f t="shared" si="109"/>
        <v>1</v>
      </c>
      <c r="N337" s="54"/>
      <c r="O337" s="54">
        <v>1</v>
      </c>
      <c r="P337" s="54"/>
      <c r="Q337" s="68">
        <f t="shared" si="110"/>
        <v>0</v>
      </c>
      <c r="R337" s="68"/>
      <c r="S337" s="68"/>
      <c r="T337" s="68"/>
      <c r="U337" s="129"/>
      <c r="V337" s="54">
        <f t="shared" si="111"/>
        <v>1</v>
      </c>
      <c r="W337" s="92" t="s">
        <v>565</v>
      </c>
    </row>
    <row r="338" s="4" customFormat="1" ht="26.25" customHeight="1" spans="1:23">
      <c r="A338" s="115">
        <v>205003</v>
      </c>
      <c r="B338" s="23" t="s">
        <v>1322</v>
      </c>
      <c r="C338" s="116"/>
      <c r="D338" s="116"/>
      <c r="E338" s="84"/>
      <c r="F338" s="26"/>
      <c r="G338" s="27">
        <f t="shared" ref="G338:V338" si="112">SUM(G339:G343)</f>
        <v>9</v>
      </c>
      <c r="H338" s="27">
        <f t="shared" si="112"/>
        <v>9</v>
      </c>
      <c r="I338" s="27">
        <f t="shared" si="112"/>
        <v>0</v>
      </c>
      <c r="J338" s="27">
        <f t="shared" si="112"/>
        <v>0</v>
      </c>
      <c r="K338" s="27">
        <f t="shared" si="112"/>
        <v>0</v>
      </c>
      <c r="L338" s="27">
        <f t="shared" si="112"/>
        <v>0</v>
      </c>
      <c r="M338" s="27">
        <f t="shared" si="112"/>
        <v>81.4</v>
      </c>
      <c r="N338" s="27">
        <f t="shared" si="112"/>
        <v>0</v>
      </c>
      <c r="O338" s="27">
        <f t="shared" si="112"/>
        <v>81.4</v>
      </c>
      <c r="P338" s="27">
        <f t="shared" si="112"/>
        <v>0</v>
      </c>
      <c r="Q338" s="27">
        <f t="shared" si="112"/>
        <v>3.64</v>
      </c>
      <c r="R338" s="27">
        <f t="shared" si="112"/>
        <v>0</v>
      </c>
      <c r="S338" s="27">
        <f t="shared" si="112"/>
        <v>3.64</v>
      </c>
      <c r="T338" s="27">
        <f t="shared" si="112"/>
        <v>0</v>
      </c>
      <c r="U338" s="27">
        <f t="shared" si="112"/>
        <v>9</v>
      </c>
      <c r="V338" s="27">
        <f t="shared" si="112"/>
        <v>85.04</v>
      </c>
      <c r="W338" s="67"/>
    </row>
    <row r="339" s="4" customFormat="1" ht="26.25" customHeight="1" spans="1:23">
      <c r="A339" s="117">
        <v>205003</v>
      </c>
      <c r="B339" s="29" t="s">
        <v>1732</v>
      </c>
      <c r="C339" s="118" t="s">
        <v>1722</v>
      </c>
      <c r="D339" s="86" t="s">
        <v>1723</v>
      </c>
      <c r="E339" s="127" t="s">
        <v>2945</v>
      </c>
      <c r="F339" s="38" t="s">
        <v>2939</v>
      </c>
      <c r="G339" s="33">
        <f t="shared" ref="G339:G343" si="113">SUM(H339:J339)</f>
        <v>0</v>
      </c>
      <c r="H339" s="33"/>
      <c r="I339" s="33"/>
      <c r="J339" s="33"/>
      <c r="K339" s="33"/>
      <c r="L339" s="33"/>
      <c r="M339" s="54">
        <f t="shared" ref="M339:M343" si="114">N339+O339-P339</f>
        <v>0</v>
      </c>
      <c r="N339" s="54"/>
      <c r="O339" s="54"/>
      <c r="P339" s="54"/>
      <c r="Q339" s="68">
        <f t="shared" ref="Q339:Q343" si="115">R339+S339-T339</f>
        <v>3.64</v>
      </c>
      <c r="R339" s="68"/>
      <c r="S339" s="68">
        <v>3.64</v>
      </c>
      <c r="T339" s="68"/>
      <c r="U339" s="129"/>
      <c r="V339" s="68">
        <f t="shared" ref="V339:V343" si="116">G339+K339+L339+M339+Q339-U339</f>
        <v>3.64</v>
      </c>
      <c r="W339" s="91" t="s">
        <v>2942</v>
      </c>
    </row>
    <row r="340" s="4" customFormat="1" ht="26.25" customHeight="1" spans="1:23">
      <c r="A340" s="117">
        <v>205003</v>
      </c>
      <c r="B340" s="29" t="s">
        <v>1732</v>
      </c>
      <c r="C340" s="118" t="s">
        <v>1722</v>
      </c>
      <c r="D340" s="82" t="s">
        <v>1723</v>
      </c>
      <c r="E340" s="136" t="s">
        <v>2945</v>
      </c>
      <c r="F340" s="49" t="s">
        <v>2939</v>
      </c>
      <c r="G340" s="33">
        <f t="shared" si="113"/>
        <v>0</v>
      </c>
      <c r="H340" s="33"/>
      <c r="I340" s="33"/>
      <c r="J340" s="33"/>
      <c r="K340" s="33"/>
      <c r="L340" s="33"/>
      <c r="M340" s="54">
        <f t="shared" si="114"/>
        <v>63</v>
      </c>
      <c r="N340" s="54"/>
      <c r="O340" s="54">
        <v>63</v>
      </c>
      <c r="P340" s="54"/>
      <c r="Q340" s="68">
        <f t="shared" si="115"/>
        <v>0</v>
      </c>
      <c r="R340" s="68"/>
      <c r="S340" s="68"/>
      <c r="T340" s="68"/>
      <c r="U340" s="129"/>
      <c r="V340" s="54">
        <f t="shared" si="116"/>
        <v>63</v>
      </c>
      <c r="W340" s="74" t="s">
        <v>614</v>
      </c>
    </row>
    <row r="341" s="4" customFormat="1" ht="26.25" customHeight="1" spans="1:23">
      <c r="A341" s="117">
        <v>205003</v>
      </c>
      <c r="B341" s="29" t="s">
        <v>1732</v>
      </c>
      <c r="C341" s="118" t="s">
        <v>1722</v>
      </c>
      <c r="D341" s="120" t="s">
        <v>1723</v>
      </c>
      <c r="E341" s="37" t="s">
        <v>2946</v>
      </c>
      <c r="F341" s="32" t="s">
        <v>993</v>
      </c>
      <c r="G341" s="33">
        <f t="shared" si="113"/>
        <v>9</v>
      </c>
      <c r="H341" s="33">
        <v>9</v>
      </c>
      <c r="I341" s="33"/>
      <c r="J341" s="33"/>
      <c r="K341" s="33"/>
      <c r="L341" s="33"/>
      <c r="M341" s="54">
        <f t="shared" si="114"/>
        <v>0</v>
      </c>
      <c r="N341" s="54"/>
      <c r="O341" s="54"/>
      <c r="P341" s="54"/>
      <c r="Q341" s="68">
        <f t="shared" si="115"/>
        <v>0</v>
      </c>
      <c r="R341" s="68"/>
      <c r="S341" s="68"/>
      <c r="T341" s="68"/>
      <c r="U341" s="129">
        <v>9</v>
      </c>
      <c r="V341" s="70">
        <f t="shared" si="116"/>
        <v>0</v>
      </c>
      <c r="W341" s="130" t="s">
        <v>2283</v>
      </c>
    </row>
    <row r="342" s="4" customFormat="1" ht="26.25" customHeight="1" spans="1:23">
      <c r="A342" s="117">
        <v>205003</v>
      </c>
      <c r="B342" s="29" t="s">
        <v>1732</v>
      </c>
      <c r="C342" s="49" t="s">
        <v>2901</v>
      </c>
      <c r="D342" s="50" t="s">
        <v>2902</v>
      </c>
      <c r="E342" s="136" t="s">
        <v>2945</v>
      </c>
      <c r="F342" s="35" t="s">
        <v>2939</v>
      </c>
      <c r="G342" s="33">
        <f t="shared" si="113"/>
        <v>0</v>
      </c>
      <c r="H342" s="33"/>
      <c r="I342" s="33"/>
      <c r="J342" s="33"/>
      <c r="K342" s="33"/>
      <c r="L342" s="33"/>
      <c r="M342" s="54">
        <f t="shared" si="114"/>
        <v>8.4</v>
      </c>
      <c r="N342" s="54"/>
      <c r="O342" s="54">
        <v>8.4</v>
      </c>
      <c r="P342" s="54"/>
      <c r="Q342" s="68">
        <f t="shared" si="115"/>
        <v>0</v>
      </c>
      <c r="R342" s="68"/>
      <c r="S342" s="68"/>
      <c r="T342" s="68"/>
      <c r="U342" s="129"/>
      <c r="V342" s="54">
        <f t="shared" si="116"/>
        <v>8.4</v>
      </c>
      <c r="W342" s="92" t="s">
        <v>565</v>
      </c>
    </row>
    <row r="343" s="4" customFormat="1" ht="26.25" customHeight="1" spans="1:23">
      <c r="A343" s="117">
        <v>205003</v>
      </c>
      <c r="B343" s="29" t="s">
        <v>1732</v>
      </c>
      <c r="C343" s="35" t="s">
        <v>2908</v>
      </c>
      <c r="D343" s="76" t="s">
        <v>2909</v>
      </c>
      <c r="E343" s="127" t="s">
        <v>2947</v>
      </c>
      <c r="F343" s="35" t="s">
        <v>2909</v>
      </c>
      <c r="G343" s="33">
        <f t="shared" si="113"/>
        <v>0</v>
      </c>
      <c r="H343" s="33"/>
      <c r="I343" s="33"/>
      <c r="J343" s="33"/>
      <c r="K343" s="33"/>
      <c r="L343" s="33"/>
      <c r="M343" s="54">
        <f t="shared" si="114"/>
        <v>10</v>
      </c>
      <c r="N343" s="54"/>
      <c r="O343" s="54">
        <v>10</v>
      </c>
      <c r="P343" s="54"/>
      <c r="Q343" s="68">
        <f t="shared" si="115"/>
        <v>0</v>
      </c>
      <c r="R343" s="68"/>
      <c r="S343" s="68"/>
      <c r="T343" s="68"/>
      <c r="U343" s="129"/>
      <c r="V343" s="54">
        <f t="shared" si="116"/>
        <v>10</v>
      </c>
      <c r="W343" s="74" t="s">
        <v>567</v>
      </c>
    </row>
    <row r="344" s="4" customFormat="1" ht="26.25" customHeight="1" spans="1:23">
      <c r="A344" s="115">
        <v>205004</v>
      </c>
      <c r="B344" s="23" t="s">
        <v>1324</v>
      </c>
      <c r="C344" s="116"/>
      <c r="D344" s="116"/>
      <c r="E344" s="84"/>
      <c r="F344" s="26"/>
      <c r="G344" s="27">
        <f t="shared" ref="G344:V344" si="117">SUM(G345:G347)</f>
        <v>19</v>
      </c>
      <c r="H344" s="27">
        <f t="shared" si="117"/>
        <v>19</v>
      </c>
      <c r="I344" s="27">
        <f t="shared" si="117"/>
        <v>0</v>
      </c>
      <c r="J344" s="27">
        <f t="shared" si="117"/>
        <v>0</v>
      </c>
      <c r="K344" s="27">
        <f t="shared" si="117"/>
        <v>0</v>
      </c>
      <c r="L344" s="27">
        <f t="shared" si="117"/>
        <v>0</v>
      </c>
      <c r="M344" s="27">
        <f t="shared" si="117"/>
        <v>54.36</v>
      </c>
      <c r="N344" s="27">
        <f t="shared" si="117"/>
        <v>0</v>
      </c>
      <c r="O344" s="27">
        <f t="shared" si="117"/>
        <v>54.36</v>
      </c>
      <c r="P344" s="27">
        <f t="shared" si="117"/>
        <v>0</v>
      </c>
      <c r="Q344" s="27">
        <f t="shared" si="117"/>
        <v>0</v>
      </c>
      <c r="R344" s="27">
        <f t="shared" si="117"/>
        <v>0</v>
      </c>
      <c r="S344" s="27">
        <f t="shared" si="117"/>
        <v>0</v>
      </c>
      <c r="T344" s="27">
        <f t="shared" si="117"/>
        <v>0</v>
      </c>
      <c r="U344" s="27">
        <f t="shared" si="117"/>
        <v>19</v>
      </c>
      <c r="V344" s="27">
        <f t="shared" si="117"/>
        <v>54.36</v>
      </c>
      <c r="W344" s="67"/>
    </row>
    <row r="345" s="4" customFormat="1" ht="26.25" customHeight="1" spans="1:23">
      <c r="A345" s="117">
        <v>205004</v>
      </c>
      <c r="B345" s="29" t="s">
        <v>1741</v>
      </c>
      <c r="C345" s="118" t="s">
        <v>1722</v>
      </c>
      <c r="D345" s="82" t="s">
        <v>1723</v>
      </c>
      <c r="E345" s="136" t="s">
        <v>2948</v>
      </c>
      <c r="F345" s="35" t="s">
        <v>2949</v>
      </c>
      <c r="G345" s="33">
        <f t="shared" ref="G345:G347" si="118">SUM(H345:J345)</f>
        <v>0</v>
      </c>
      <c r="H345" s="33"/>
      <c r="I345" s="33"/>
      <c r="J345" s="33"/>
      <c r="K345" s="33"/>
      <c r="L345" s="33"/>
      <c r="M345" s="54">
        <f t="shared" ref="M345:M347" si="119">N345+O345-P345</f>
        <v>37</v>
      </c>
      <c r="N345" s="54"/>
      <c r="O345" s="54">
        <v>37</v>
      </c>
      <c r="P345" s="54"/>
      <c r="Q345" s="68">
        <f t="shared" ref="Q345:Q347" si="120">R345+S345-T345</f>
        <v>0</v>
      </c>
      <c r="R345" s="68"/>
      <c r="S345" s="68"/>
      <c r="T345" s="68"/>
      <c r="U345" s="129"/>
      <c r="V345" s="54">
        <f t="shared" ref="V345:V347" si="121">G345+K345+L345+M345+Q345-U345</f>
        <v>37</v>
      </c>
      <c r="W345" s="92" t="s">
        <v>614</v>
      </c>
    </row>
    <row r="346" s="4" customFormat="1" ht="26.25" customHeight="1" spans="1:23">
      <c r="A346" s="117">
        <v>205004</v>
      </c>
      <c r="B346" s="29" t="s">
        <v>1741</v>
      </c>
      <c r="C346" s="118" t="s">
        <v>1722</v>
      </c>
      <c r="D346" s="120" t="s">
        <v>1723</v>
      </c>
      <c r="E346" s="37" t="s">
        <v>2950</v>
      </c>
      <c r="F346" s="32" t="s">
        <v>997</v>
      </c>
      <c r="G346" s="33">
        <f t="shared" si="118"/>
        <v>19</v>
      </c>
      <c r="H346" s="33">
        <v>19</v>
      </c>
      <c r="I346" s="33"/>
      <c r="J346" s="33"/>
      <c r="K346" s="33"/>
      <c r="L346" s="33"/>
      <c r="M346" s="54">
        <f t="shared" si="119"/>
        <v>0</v>
      </c>
      <c r="N346" s="54"/>
      <c r="O346" s="54"/>
      <c r="P346" s="54"/>
      <c r="Q346" s="68">
        <f t="shared" si="120"/>
        <v>0</v>
      </c>
      <c r="R346" s="68"/>
      <c r="S346" s="68"/>
      <c r="T346" s="68"/>
      <c r="U346" s="129">
        <v>19</v>
      </c>
      <c r="V346" s="70">
        <f t="shared" si="121"/>
        <v>0</v>
      </c>
      <c r="W346" s="130" t="s">
        <v>2283</v>
      </c>
    </row>
    <row r="347" s="4" customFormat="1" ht="26.25" customHeight="1" spans="1:23">
      <c r="A347" s="117">
        <v>205004</v>
      </c>
      <c r="B347" s="29" t="s">
        <v>1741</v>
      </c>
      <c r="C347" s="49" t="s">
        <v>2901</v>
      </c>
      <c r="D347" s="50" t="s">
        <v>2902</v>
      </c>
      <c r="E347" s="136" t="s">
        <v>2948</v>
      </c>
      <c r="F347" s="35" t="s">
        <v>2949</v>
      </c>
      <c r="G347" s="33">
        <f t="shared" si="118"/>
        <v>0</v>
      </c>
      <c r="H347" s="33"/>
      <c r="I347" s="33"/>
      <c r="J347" s="33"/>
      <c r="K347" s="33"/>
      <c r="L347" s="33"/>
      <c r="M347" s="54">
        <f t="shared" si="119"/>
        <v>17.36</v>
      </c>
      <c r="N347" s="54"/>
      <c r="O347" s="54">
        <v>17.36</v>
      </c>
      <c r="P347" s="54"/>
      <c r="Q347" s="68">
        <f t="shared" si="120"/>
        <v>0</v>
      </c>
      <c r="R347" s="68"/>
      <c r="S347" s="68"/>
      <c r="T347" s="68"/>
      <c r="U347" s="129"/>
      <c r="V347" s="54">
        <f t="shared" si="121"/>
        <v>17.36</v>
      </c>
      <c r="W347" s="92" t="s">
        <v>565</v>
      </c>
    </row>
    <row r="348" s="4" customFormat="1" ht="26.25" customHeight="1" spans="1:23">
      <c r="A348" s="115">
        <v>205005</v>
      </c>
      <c r="B348" s="23" t="s">
        <v>1326</v>
      </c>
      <c r="C348" s="116"/>
      <c r="D348" s="116"/>
      <c r="E348" s="84"/>
      <c r="F348" s="26"/>
      <c r="G348" s="27">
        <f t="shared" ref="G348:V348" si="122">SUM(G349:G353)</f>
        <v>10</v>
      </c>
      <c r="H348" s="27">
        <f t="shared" si="122"/>
        <v>10</v>
      </c>
      <c r="I348" s="27">
        <f t="shared" si="122"/>
        <v>0</v>
      </c>
      <c r="J348" s="27">
        <f t="shared" si="122"/>
        <v>0</v>
      </c>
      <c r="K348" s="27">
        <f t="shared" si="122"/>
        <v>0</v>
      </c>
      <c r="L348" s="27">
        <f t="shared" si="122"/>
        <v>0</v>
      </c>
      <c r="M348" s="27">
        <f t="shared" si="122"/>
        <v>73.68</v>
      </c>
      <c r="N348" s="27">
        <f t="shared" si="122"/>
        <v>0</v>
      </c>
      <c r="O348" s="27">
        <f t="shared" si="122"/>
        <v>73.68</v>
      </c>
      <c r="P348" s="27">
        <f t="shared" si="122"/>
        <v>0</v>
      </c>
      <c r="Q348" s="27">
        <f t="shared" si="122"/>
        <v>0</v>
      </c>
      <c r="R348" s="27">
        <f t="shared" si="122"/>
        <v>0</v>
      </c>
      <c r="S348" s="27">
        <f t="shared" si="122"/>
        <v>0</v>
      </c>
      <c r="T348" s="27">
        <f t="shared" si="122"/>
        <v>0</v>
      </c>
      <c r="U348" s="27">
        <f t="shared" si="122"/>
        <v>10</v>
      </c>
      <c r="V348" s="27">
        <f t="shared" si="122"/>
        <v>73.68</v>
      </c>
      <c r="W348" s="67"/>
    </row>
    <row r="349" s="4" customFormat="1" ht="26.25" customHeight="1" spans="1:23">
      <c r="A349" s="117">
        <v>205005</v>
      </c>
      <c r="B349" s="29" t="s">
        <v>1750</v>
      </c>
      <c r="C349" s="118" t="s">
        <v>1722</v>
      </c>
      <c r="D349" s="82" t="s">
        <v>1723</v>
      </c>
      <c r="E349" s="127" t="s">
        <v>2951</v>
      </c>
      <c r="F349" s="35" t="s">
        <v>2939</v>
      </c>
      <c r="G349" s="33">
        <f t="shared" ref="G349:G353" si="123">SUM(H349:J349)</f>
        <v>0</v>
      </c>
      <c r="H349" s="33"/>
      <c r="I349" s="33"/>
      <c r="J349" s="33"/>
      <c r="K349" s="33"/>
      <c r="L349" s="33"/>
      <c r="M349" s="54">
        <f t="shared" ref="M349:M353" si="124">N349+O349-P349</f>
        <v>25</v>
      </c>
      <c r="N349" s="54"/>
      <c r="O349" s="54">
        <v>25</v>
      </c>
      <c r="P349" s="54"/>
      <c r="Q349" s="68">
        <f t="shared" ref="Q349:Q353" si="125">R349+S349-T349</f>
        <v>0</v>
      </c>
      <c r="R349" s="68"/>
      <c r="S349" s="68"/>
      <c r="T349" s="68"/>
      <c r="U349" s="129"/>
      <c r="V349" s="54">
        <f t="shared" ref="V349:V353" si="126">G349+K349+L349+M349+Q349-U349</f>
        <v>25</v>
      </c>
      <c r="W349" s="92" t="s">
        <v>614</v>
      </c>
    </row>
    <row r="350" s="4" customFormat="1" ht="26.25" customHeight="1" spans="1:23">
      <c r="A350" s="117">
        <v>205005</v>
      </c>
      <c r="B350" s="29" t="s">
        <v>1750</v>
      </c>
      <c r="C350" s="118" t="s">
        <v>1722</v>
      </c>
      <c r="D350" s="82" t="s">
        <v>1723</v>
      </c>
      <c r="E350" s="127" t="s">
        <v>2951</v>
      </c>
      <c r="F350" s="35" t="s">
        <v>2939</v>
      </c>
      <c r="G350" s="33">
        <f t="shared" si="123"/>
        <v>0</v>
      </c>
      <c r="H350" s="33"/>
      <c r="I350" s="33"/>
      <c r="J350" s="33"/>
      <c r="K350" s="33"/>
      <c r="L350" s="33"/>
      <c r="M350" s="54">
        <f t="shared" si="124"/>
        <v>8</v>
      </c>
      <c r="N350" s="54"/>
      <c r="O350" s="54">
        <v>8</v>
      </c>
      <c r="P350" s="54"/>
      <c r="Q350" s="68">
        <f t="shared" si="125"/>
        <v>0</v>
      </c>
      <c r="R350" s="68"/>
      <c r="S350" s="68"/>
      <c r="T350" s="68"/>
      <c r="U350" s="129"/>
      <c r="V350" s="54">
        <f t="shared" si="126"/>
        <v>8</v>
      </c>
      <c r="W350" s="92" t="s">
        <v>713</v>
      </c>
    </row>
    <row r="351" s="4" customFormat="1" ht="26.25" customHeight="1" spans="1:23">
      <c r="A351" s="117">
        <v>205005</v>
      </c>
      <c r="B351" s="29" t="s">
        <v>1750</v>
      </c>
      <c r="C351" s="118" t="s">
        <v>1722</v>
      </c>
      <c r="D351" s="120" t="s">
        <v>1723</v>
      </c>
      <c r="E351" s="37" t="s">
        <v>2952</v>
      </c>
      <c r="F351" s="32" t="s">
        <v>997</v>
      </c>
      <c r="G351" s="33">
        <f t="shared" si="123"/>
        <v>10</v>
      </c>
      <c r="H351" s="33">
        <v>10</v>
      </c>
      <c r="I351" s="33"/>
      <c r="J351" s="33"/>
      <c r="K351" s="33"/>
      <c r="L351" s="33"/>
      <c r="M351" s="54">
        <f t="shared" si="124"/>
        <v>0</v>
      </c>
      <c r="N351" s="54"/>
      <c r="O351" s="54"/>
      <c r="P351" s="54"/>
      <c r="Q351" s="68">
        <f t="shared" si="125"/>
        <v>0</v>
      </c>
      <c r="R351" s="68"/>
      <c r="S351" s="68"/>
      <c r="T351" s="68"/>
      <c r="U351" s="129">
        <v>10</v>
      </c>
      <c r="V351" s="70">
        <f t="shared" si="126"/>
        <v>0</v>
      </c>
      <c r="W351" s="130" t="s">
        <v>2283</v>
      </c>
    </row>
    <row r="352" s="4" customFormat="1" ht="26.25" customHeight="1" spans="1:23">
      <c r="A352" s="117">
        <v>205005</v>
      </c>
      <c r="B352" s="29" t="s">
        <v>1750</v>
      </c>
      <c r="C352" s="49" t="s">
        <v>2901</v>
      </c>
      <c r="D352" s="50" t="s">
        <v>2902</v>
      </c>
      <c r="E352" s="127" t="s">
        <v>2951</v>
      </c>
      <c r="F352" s="35" t="s">
        <v>2939</v>
      </c>
      <c r="G352" s="33">
        <f t="shared" si="123"/>
        <v>0</v>
      </c>
      <c r="H352" s="33"/>
      <c r="I352" s="33"/>
      <c r="J352" s="33"/>
      <c r="K352" s="33"/>
      <c r="L352" s="33"/>
      <c r="M352" s="54">
        <f t="shared" si="124"/>
        <v>15.68</v>
      </c>
      <c r="N352" s="54"/>
      <c r="O352" s="54">
        <v>15.68</v>
      </c>
      <c r="P352" s="54"/>
      <c r="Q352" s="68">
        <f t="shared" si="125"/>
        <v>0</v>
      </c>
      <c r="R352" s="68"/>
      <c r="S352" s="68"/>
      <c r="T352" s="68"/>
      <c r="U352" s="129"/>
      <c r="V352" s="54">
        <f t="shared" si="126"/>
        <v>15.68</v>
      </c>
      <c r="W352" s="92" t="s">
        <v>565</v>
      </c>
    </row>
    <row r="353" s="4" customFormat="1" ht="26.25" customHeight="1" spans="1:23">
      <c r="A353" s="117">
        <v>205005</v>
      </c>
      <c r="B353" s="29" t="s">
        <v>1750</v>
      </c>
      <c r="C353" s="49" t="s">
        <v>2908</v>
      </c>
      <c r="D353" s="50" t="s">
        <v>2909</v>
      </c>
      <c r="E353" s="136" t="s">
        <v>2953</v>
      </c>
      <c r="F353" s="35" t="s">
        <v>2909</v>
      </c>
      <c r="G353" s="33">
        <f t="shared" si="123"/>
        <v>0</v>
      </c>
      <c r="H353" s="33"/>
      <c r="I353" s="33"/>
      <c r="J353" s="33"/>
      <c r="K353" s="33"/>
      <c r="L353" s="33"/>
      <c r="M353" s="54">
        <f t="shared" si="124"/>
        <v>25</v>
      </c>
      <c r="N353" s="54"/>
      <c r="O353" s="54">
        <v>25</v>
      </c>
      <c r="P353" s="54"/>
      <c r="Q353" s="68">
        <f t="shared" si="125"/>
        <v>0</v>
      </c>
      <c r="R353" s="68"/>
      <c r="S353" s="68"/>
      <c r="T353" s="68"/>
      <c r="U353" s="129"/>
      <c r="V353" s="54">
        <f t="shared" si="126"/>
        <v>25</v>
      </c>
      <c r="W353" s="74" t="s">
        <v>567</v>
      </c>
    </row>
    <row r="354" s="4" customFormat="1" ht="26.25" customHeight="1" spans="1:23">
      <c r="A354" s="115">
        <v>206001</v>
      </c>
      <c r="B354" s="23" t="s">
        <v>2954</v>
      </c>
      <c r="C354" s="116"/>
      <c r="D354" s="116"/>
      <c r="E354" s="84"/>
      <c r="F354" s="26"/>
      <c r="G354" s="27">
        <f t="shared" ref="G354:V354" si="127">SUM(G355:G364)</f>
        <v>3009.7</v>
      </c>
      <c r="H354" s="27">
        <f t="shared" si="127"/>
        <v>2669.7</v>
      </c>
      <c r="I354" s="27">
        <f t="shared" si="127"/>
        <v>0</v>
      </c>
      <c r="J354" s="27">
        <f t="shared" si="127"/>
        <v>340</v>
      </c>
      <c r="K354" s="27">
        <f t="shared" si="127"/>
        <v>0.8</v>
      </c>
      <c r="L354" s="27">
        <f t="shared" si="127"/>
        <v>0</v>
      </c>
      <c r="M354" s="27">
        <f t="shared" si="127"/>
        <v>-335</v>
      </c>
      <c r="N354" s="27">
        <f t="shared" si="127"/>
        <v>-340</v>
      </c>
      <c r="O354" s="27">
        <f t="shared" si="127"/>
        <v>5</v>
      </c>
      <c r="P354" s="27">
        <f t="shared" si="127"/>
        <v>0</v>
      </c>
      <c r="Q354" s="27">
        <f t="shared" si="127"/>
        <v>160.809102</v>
      </c>
      <c r="R354" s="27">
        <f t="shared" si="127"/>
        <v>0</v>
      </c>
      <c r="S354" s="27">
        <f t="shared" si="127"/>
        <v>160.809102</v>
      </c>
      <c r="T354" s="27">
        <f t="shared" si="127"/>
        <v>0</v>
      </c>
      <c r="U354" s="27">
        <f t="shared" si="127"/>
        <v>229</v>
      </c>
      <c r="V354" s="27">
        <f t="shared" si="127"/>
        <v>2607.309102</v>
      </c>
      <c r="W354" s="67"/>
    </row>
    <row r="355" s="4" customFormat="1" ht="26.25" customHeight="1" spans="1:23">
      <c r="A355" s="117">
        <v>206001</v>
      </c>
      <c r="B355" s="29" t="s">
        <v>2955</v>
      </c>
      <c r="C355" s="118" t="s">
        <v>2956</v>
      </c>
      <c r="D355" s="135" t="s">
        <v>2957</v>
      </c>
      <c r="E355" s="37" t="s">
        <v>2958</v>
      </c>
      <c r="F355" s="48" t="s">
        <v>2959</v>
      </c>
      <c r="G355" s="33">
        <f t="shared" ref="G355:G364" si="128">SUM(H355:J355)</f>
        <v>717</v>
      </c>
      <c r="H355" s="33">
        <v>717</v>
      </c>
      <c r="I355" s="33"/>
      <c r="J355" s="33"/>
      <c r="K355" s="33"/>
      <c r="L355" s="33"/>
      <c r="M355" s="54">
        <f t="shared" ref="M355:M364" si="129">N355+O355-P355</f>
        <v>0</v>
      </c>
      <c r="N355" s="54"/>
      <c r="O355" s="54"/>
      <c r="P355" s="54"/>
      <c r="Q355" s="68">
        <f t="shared" ref="Q355:Q364" si="130">R355+S355-T355</f>
        <v>0</v>
      </c>
      <c r="R355" s="68"/>
      <c r="S355" s="68"/>
      <c r="T355" s="68"/>
      <c r="U355" s="129">
        <v>43</v>
      </c>
      <c r="V355" s="33">
        <f t="shared" ref="V355:V364" si="131">G355+K355+L355+M355+Q355-U355</f>
        <v>674</v>
      </c>
      <c r="W355" s="130" t="s">
        <v>2283</v>
      </c>
    </row>
    <row r="356" s="4" customFormat="1" ht="26.25" customHeight="1" spans="1:23">
      <c r="A356" s="117">
        <v>206001</v>
      </c>
      <c r="B356" s="29" t="s">
        <v>2955</v>
      </c>
      <c r="C356" s="118" t="s">
        <v>2956</v>
      </c>
      <c r="D356" s="135" t="s">
        <v>2957</v>
      </c>
      <c r="E356" s="37" t="s">
        <v>2960</v>
      </c>
      <c r="F356" s="48" t="s">
        <v>1002</v>
      </c>
      <c r="G356" s="33">
        <f t="shared" si="128"/>
        <v>1186</v>
      </c>
      <c r="H356" s="33">
        <v>1186</v>
      </c>
      <c r="I356" s="33"/>
      <c r="J356" s="33"/>
      <c r="K356" s="33"/>
      <c r="L356" s="33"/>
      <c r="M356" s="54">
        <f t="shared" si="129"/>
        <v>0</v>
      </c>
      <c r="N356" s="54"/>
      <c r="O356" s="54"/>
      <c r="P356" s="54"/>
      <c r="Q356" s="68">
        <f t="shared" si="130"/>
        <v>0</v>
      </c>
      <c r="R356" s="68"/>
      <c r="S356" s="68"/>
      <c r="T356" s="68"/>
      <c r="U356" s="129">
        <v>86</v>
      </c>
      <c r="V356" s="33">
        <f t="shared" si="131"/>
        <v>1100</v>
      </c>
      <c r="W356" s="130" t="s">
        <v>2283</v>
      </c>
    </row>
    <row r="357" s="4" customFormat="1" ht="26.25" customHeight="1" spans="1:23">
      <c r="A357" s="117">
        <v>206001</v>
      </c>
      <c r="B357" s="29" t="s">
        <v>2955</v>
      </c>
      <c r="C357" s="118" t="s">
        <v>2791</v>
      </c>
      <c r="D357" s="86" t="s">
        <v>2792</v>
      </c>
      <c r="E357" s="127" t="s">
        <v>2961</v>
      </c>
      <c r="F357" s="38" t="s">
        <v>2792</v>
      </c>
      <c r="G357" s="33">
        <f t="shared" si="128"/>
        <v>0</v>
      </c>
      <c r="H357" s="33"/>
      <c r="I357" s="33"/>
      <c r="J357" s="33"/>
      <c r="K357" s="33"/>
      <c r="L357" s="33"/>
      <c r="M357" s="54">
        <f t="shared" si="129"/>
        <v>0</v>
      </c>
      <c r="N357" s="54"/>
      <c r="O357" s="54"/>
      <c r="P357" s="54"/>
      <c r="Q357" s="68">
        <f t="shared" si="130"/>
        <v>135</v>
      </c>
      <c r="R357" s="68"/>
      <c r="S357" s="68">
        <v>135</v>
      </c>
      <c r="T357" s="68"/>
      <c r="U357" s="129"/>
      <c r="V357" s="68">
        <f t="shared" si="131"/>
        <v>135</v>
      </c>
      <c r="W357" s="91" t="s">
        <v>2962</v>
      </c>
    </row>
    <row r="358" s="4" customFormat="1" ht="26.25" customHeight="1" spans="1:23">
      <c r="A358" s="117">
        <v>206001</v>
      </c>
      <c r="B358" s="29" t="s">
        <v>2955</v>
      </c>
      <c r="C358" s="118" t="s">
        <v>2791</v>
      </c>
      <c r="D358" s="86" t="s">
        <v>2792</v>
      </c>
      <c r="E358" s="127" t="s">
        <v>2963</v>
      </c>
      <c r="F358" s="38" t="s">
        <v>2964</v>
      </c>
      <c r="G358" s="33">
        <f t="shared" si="128"/>
        <v>0</v>
      </c>
      <c r="H358" s="33"/>
      <c r="I358" s="33"/>
      <c r="J358" s="33"/>
      <c r="K358" s="33"/>
      <c r="L358" s="33"/>
      <c r="M358" s="54">
        <f t="shared" si="129"/>
        <v>0</v>
      </c>
      <c r="N358" s="54"/>
      <c r="O358" s="54"/>
      <c r="P358" s="54"/>
      <c r="Q358" s="68">
        <f t="shared" si="130"/>
        <v>25.809102</v>
      </c>
      <c r="R358" s="68"/>
      <c r="S358" s="68">
        <v>25.809102</v>
      </c>
      <c r="T358" s="68"/>
      <c r="U358" s="129"/>
      <c r="V358" s="68">
        <f t="shared" si="131"/>
        <v>25.809102</v>
      </c>
      <c r="W358" s="91" t="s">
        <v>2965</v>
      </c>
    </row>
    <row r="359" s="4" customFormat="1" ht="26.25" customHeight="1" spans="1:23">
      <c r="A359" s="117">
        <v>206001</v>
      </c>
      <c r="B359" s="29" t="s">
        <v>2955</v>
      </c>
      <c r="C359" s="118" t="s">
        <v>2791</v>
      </c>
      <c r="D359" s="135" t="s">
        <v>2792</v>
      </c>
      <c r="E359" s="37" t="s">
        <v>2966</v>
      </c>
      <c r="F359" s="48" t="s">
        <v>1003</v>
      </c>
      <c r="G359" s="33">
        <f t="shared" si="128"/>
        <v>700</v>
      </c>
      <c r="H359" s="33">
        <v>700</v>
      </c>
      <c r="I359" s="33"/>
      <c r="J359" s="33"/>
      <c r="K359" s="33"/>
      <c r="L359" s="33"/>
      <c r="M359" s="54">
        <f t="shared" si="129"/>
        <v>0</v>
      </c>
      <c r="N359" s="54"/>
      <c r="O359" s="54"/>
      <c r="P359" s="54"/>
      <c r="Q359" s="68">
        <f t="shared" si="130"/>
        <v>0</v>
      </c>
      <c r="R359" s="68"/>
      <c r="S359" s="68"/>
      <c r="T359" s="68"/>
      <c r="U359" s="129">
        <v>100</v>
      </c>
      <c r="V359" s="33">
        <f t="shared" si="131"/>
        <v>600</v>
      </c>
      <c r="W359" s="130" t="s">
        <v>2283</v>
      </c>
    </row>
    <row r="360" s="4" customFormat="1" ht="26.25" customHeight="1" spans="1:23">
      <c r="A360" s="117">
        <v>206001</v>
      </c>
      <c r="B360" s="29" t="s">
        <v>2955</v>
      </c>
      <c r="C360" s="118" t="s">
        <v>2791</v>
      </c>
      <c r="D360" s="82" t="s">
        <v>2792</v>
      </c>
      <c r="E360" s="37" t="s">
        <v>2967</v>
      </c>
      <c r="F360" s="48" t="s">
        <v>2968</v>
      </c>
      <c r="G360" s="33">
        <f t="shared" si="128"/>
        <v>340</v>
      </c>
      <c r="H360" s="33"/>
      <c r="I360" s="33"/>
      <c r="J360" s="33">
        <v>340</v>
      </c>
      <c r="K360" s="33"/>
      <c r="L360" s="33"/>
      <c r="M360" s="54">
        <f t="shared" si="129"/>
        <v>-340</v>
      </c>
      <c r="N360" s="54">
        <v>-340</v>
      </c>
      <c r="O360" s="54"/>
      <c r="P360" s="54"/>
      <c r="Q360" s="68">
        <f t="shared" si="130"/>
        <v>0</v>
      </c>
      <c r="R360" s="68"/>
      <c r="S360" s="68"/>
      <c r="T360" s="68"/>
      <c r="U360" s="129"/>
      <c r="V360" s="54">
        <f t="shared" si="131"/>
        <v>0</v>
      </c>
      <c r="W360" s="92" t="s">
        <v>2283</v>
      </c>
    </row>
    <row r="361" s="4" customFormat="1" ht="26.25" customHeight="1" spans="1:23">
      <c r="A361" s="117">
        <v>206001</v>
      </c>
      <c r="B361" s="29" t="s">
        <v>2955</v>
      </c>
      <c r="C361" s="118" t="s">
        <v>2969</v>
      </c>
      <c r="D361" s="29" t="s">
        <v>2083</v>
      </c>
      <c r="E361" s="30" t="s">
        <v>2970</v>
      </c>
      <c r="F361" s="32" t="s">
        <v>2971</v>
      </c>
      <c r="G361" s="33">
        <f t="shared" si="128"/>
        <v>45</v>
      </c>
      <c r="H361" s="33">
        <v>45</v>
      </c>
      <c r="I361" s="33"/>
      <c r="J361" s="33"/>
      <c r="K361" s="33"/>
      <c r="L361" s="33"/>
      <c r="M361" s="54">
        <f t="shared" si="129"/>
        <v>0</v>
      </c>
      <c r="N361" s="54"/>
      <c r="O361" s="54"/>
      <c r="P361" s="54"/>
      <c r="Q361" s="68">
        <f t="shared" si="130"/>
        <v>0</v>
      </c>
      <c r="R361" s="68"/>
      <c r="S361" s="68"/>
      <c r="T361" s="68"/>
      <c r="U361" s="129"/>
      <c r="V361" s="33">
        <f t="shared" si="131"/>
        <v>45</v>
      </c>
      <c r="W361" s="130" t="s">
        <v>2283</v>
      </c>
    </row>
    <row r="362" s="4" customFormat="1" ht="26.25" customHeight="1" spans="1:23">
      <c r="A362" s="117">
        <v>206001</v>
      </c>
      <c r="B362" s="29" t="s">
        <v>2955</v>
      </c>
      <c r="C362" s="118" t="s">
        <v>2969</v>
      </c>
      <c r="D362" s="119" t="s">
        <v>2083</v>
      </c>
      <c r="E362" s="121" t="s">
        <v>2972</v>
      </c>
      <c r="F362" s="35" t="s">
        <v>2317</v>
      </c>
      <c r="G362" s="33">
        <f t="shared" si="128"/>
        <v>0</v>
      </c>
      <c r="H362" s="33"/>
      <c r="I362" s="33"/>
      <c r="J362" s="33"/>
      <c r="K362" s="55">
        <v>0.8</v>
      </c>
      <c r="L362" s="33"/>
      <c r="M362" s="54">
        <f t="shared" si="129"/>
        <v>0</v>
      </c>
      <c r="N362" s="54"/>
      <c r="O362" s="54"/>
      <c r="P362" s="54"/>
      <c r="Q362" s="68">
        <f t="shared" si="130"/>
        <v>0</v>
      </c>
      <c r="R362" s="68"/>
      <c r="S362" s="68"/>
      <c r="T362" s="68"/>
      <c r="U362" s="129"/>
      <c r="V362" s="33">
        <f t="shared" si="131"/>
        <v>0.8</v>
      </c>
      <c r="W362" s="130" t="s">
        <v>2283</v>
      </c>
    </row>
    <row r="363" s="4" customFormat="1" ht="26.25" customHeight="1" spans="1:23">
      <c r="A363" s="117">
        <v>206001</v>
      </c>
      <c r="B363" s="29" t="s">
        <v>2955</v>
      </c>
      <c r="C363" s="118" t="s">
        <v>2973</v>
      </c>
      <c r="D363" s="119" t="s">
        <v>2974</v>
      </c>
      <c r="E363" s="30" t="s">
        <v>2975</v>
      </c>
      <c r="F363" s="32" t="s">
        <v>2976</v>
      </c>
      <c r="G363" s="33">
        <f t="shared" si="128"/>
        <v>21.7</v>
      </c>
      <c r="H363" s="33">
        <v>21.7</v>
      </c>
      <c r="I363" s="33"/>
      <c r="J363" s="33"/>
      <c r="K363" s="33"/>
      <c r="L363" s="33"/>
      <c r="M363" s="54">
        <f t="shared" si="129"/>
        <v>0</v>
      </c>
      <c r="N363" s="54"/>
      <c r="O363" s="54"/>
      <c r="P363" s="54"/>
      <c r="Q363" s="68">
        <f t="shared" si="130"/>
        <v>0</v>
      </c>
      <c r="R363" s="68"/>
      <c r="S363" s="68"/>
      <c r="T363" s="68"/>
      <c r="U363" s="129"/>
      <c r="V363" s="33">
        <f t="shared" si="131"/>
        <v>21.7</v>
      </c>
      <c r="W363" s="130" t="s">
        <v>2283</v>
      </c>
    </row>
    <row r="364" s="4" customFormat="1" ht="26.25" customHeight="1" spans="1:23">
      <c r="A364" s="117">
        <v>206001</v>
      </c>
      <c r="B364" s="29" t="s">
        <v>2955</v>
      </c>
      <c r="C364" s="49" t="s">
        <v>2977</v>
      </c>
      <c r="D364" s="50" t="s">
        <v>2978</v>
      </c>
      <c r="E364" s="30" t="s">
        <v>2979</v>
      </c>
      <c r="F364" s="32" t="s">
        <v>2083</v>
      </c>
      <c r="G364" s="33">
        <f t="shared" si="128"/>
        <v>0</v>
      </c>
      <c r="H364" s="33"/>
      <c r="I364" s="33"/>
      <c r="J364" s="33"/>
      <c r="K364" s="33"/>
      <c r="L364" s="33"/>
      <c r="M364" s="54">
        <f t="shared" si="129"/>
        <v>5</v>
      </c>
      <c r="N364" s="54"/>
      <c r="O364" s="54">
        <v>5</v>
      </c>
      <c r="P364" s="54"/>
      <c r="Q364" s="68">
        <f t="shared" si="130"/>
        <v>0</v>
      </c>
      <c r="R364" s="68"/>
      <c r="S364" s="68"/>
      <c r="T364" s="68"/>
      <c r="U364" s="129"/>
      <c r="V364" s="54">
        <f t="shared" si="131"/>
        <v>5</v>
      </c>
      <c r="W364" s="74" t="s">
        <v>665</v>
      </c>
    </row>
    <row r="365" s="4" customFormat="1" ht="26.25" customHeight="1" spans="1:23">
      <c r="A365" s="115">
        <v>301001</v>
      </c>
      <c r="B365" s="23" t="s">
        <v>2980</v>
      </c>
      <c r="C365" s="116"/>
      <c r="D365" s="116"/>
      <c r="E365" s="84"/>
      <c r="F365" s="26"/>
      <c r="G365" s="27">
        <f t="shared" ref="G365:V365" si="132">SUM(G366:G404)</f>
        <v>3987.10642</v>
      </c>
      <c r="H365" s="27">
        <f t="shared" si="132"/>
        <v>3617.10642</v>
      </c>
      <c r="I365" s="27">
        <f t="shared" si="132"/>
        <v>360</v>
      </c>
      <c r="J365" s="27">
        <f t="shared" si="132"/>
        <v>10</v>
      </c>
      <c r="K365" s="27">
        <f t="shared" si="132"/>
        <v>3.1</v>
      </c>
      <c r="L365" s="27">
        <f t="shared" si="132"/>
        <v>12</v>
      </c>
      <c r="M365" s="27">
        <f t="shared" si="132"/>
        <v>1280.32</v>
      </c>
      <c r="N365" s="27">
        <f t="shared" si="132"/>
        <v>-10</v>
      </c>
      <c r="O365" s="27">
        <f t="shared" si="132"/>
        <v>1495</v>
      </c>
      <c r="P365" s="27">
        <f t="shared" si="132"/>
        <v>204.68</v>
      </c>
      <c r="Q365" s="27">
        <f t="shared" si="132"/>
        <v>1292.606909</v>
      </c>
      <c r="R365" s="27">
        <f t="shared" si="132"/>
        <v>0</v>
      </c>
      <c r="S365" s="27">
        <f t="shared" si="132"/>
        <v>1583.226909</v>
      </c>
      <c r="T365" s="27">
        <f t="shared" si="132"/>
        <v>290.62</v>
      </c>
      <c r="U365" s="27">
        <f t="shared" si="132"/>
        <v>2150.26</v>
      </c>
      <c r="V365" s="27">
        <f t="shared" si="132"/>
        <v>4424.873329</v>
      </c>
      <c r="W365" s="67"/>
    </row>
    <row r="366" s="4" customFormat="1" ht="26.25" customHeight="1" spans="1:23">
      <c r="A366" s="117">
        <v>301001</v>
      </c>
      <c r="B366" s="29" t="s">
        <v>2981</v>
      </c>
      <c r="C366" s="118" t="s">
        <v>2982</v>
      </c>
      <c r="D366" s="119" t="s">
        <v>2083</v>
      </c>
      <c r="E366" s="30" t="s">
        <v>2983</v>
      </c>
      <c r="F366" s="32" t="s">
        <v>2984</v>
      </c>
      <c r="G366" s="33">
        <f t="shared" ref="G366:G403" si="133">SUM(H366:J366)</f>
        <v>50</v>
      </c>
      <c r="H366" s="33">
        <v>50</v>
      </c>
      <c r="I366" s="33"/>
      <c r="J366" s="33"/>
      <c r="K366" s="33"/>
      <c r="L366" s="33"/>
      <c r="M366" s="54">
        <f t="shared" ref="M366:M404" si="134">N366+O366-P366</f>
        <v>0</v>
      </c>
      <c r="N366" s="54"/>
      <c r="O366" s="54"/>
      <c r="P366" s="54"/>
      <c r="Q366" s="68">
        <f t="shared" ref="Q366:Q404" si="135">R366+S366-T366</f>
        <v>0</v>
      </c>
      <c r="R366" s="68"/>
      <c r="S366" s="68"/>
      <c r="T366" s="68"/>
      <c r="U366" s="129"/>
      <c r="V366" s="33">
        <f t="shared" ref="V366:V404" si="136">G366+K366+L366+M366+Q366-U366</f>
        <v>50</v>
      </c>
      <c r="W366" s="130" t="s">
        <v>2283</v>
      </c>
    </row>
    <row r="367" s="4" customFormat="1" ht="26.25" customHeight="1" spans="1:23">
      <c r="A367" s="117">
        <v>301001</v>
      </c>
      <c r="B367" s="29" t="s">
        <v>2981</v>
      </c>
      <c r="C367" s="118" t="s">
        <v>2982</v>
      </c>
      <c r="D367" s="119" t="s">
        <v>2083</v>
      </c>
      <c r="E367" s="30" t="s">
        <v>2985</v>
      </c>
      <c r="F367" s="32" t="s">
        <v>2986</v>
      </c>
      <c r="G367" s="33">
        <f t="shared" si="133"/>
        <v>5</v>
      </c>
      <c r="H367" s="33">
        <v>5</v>
      </c>
      <c r="I367" s="33"/>
      <c r="J367" s="33"/>
      <c r="K367" s="33"/>
      <c r="L367" s="33"/>
      <c r="M367" s="54">
        <f t="shared" si="134"/>
        <v>0</v>
      </c>
      <c r="N367" s="54"/>
      <c r="O367" s="54"/>
      <c r="P367" s="54"/>
      <c r="Q367" s="68">
        <f t="shared" si="135"/>
        <v>0</v>
      </c>
      <c r="R367" s="68"/>
      <c r="S367" s="68"/>
      <c r="T367" s="68"/>
      <c r="U367" s="129"/>
      <c r="V367" s="33">
        <f t="shared" si="136"/>
        <v>5</v>
      </c>
      <c r="W367" s="130" t="s">
        <v>2283</v>
      </c>
    </row>
    <row r="368" s="4" customFormat="1" ht="26.25" customHeight="1" spans="1:23">
      <c r="A368" s="117">
        <v>301001</v>
      </c>
      <c r="B368" s="29" t="s">
        <v>2981</v>
      </c>
      <c r="C368" s="118" t="s">
        <v>2982</v>
      </c>
      <c r="D368" s="119" t="s">
        <v>2083</v>
      </c>
      <c r="E368" s="30" t="s">
        <v>2985</v>
      </c>
      <c r="F368" s="32" t="s">
        <v>2986</v>
      </c>
      <c r="G368" s="33">
        <f t="shared" si="133"/>
        <v>0</v>
      </c>
      <c r="H368" s="33"/>
      <c r="I368" s="33"/>
      <c r="J368" s="33"/>
      <c r="K368" s="33"/>
      <c r="L368" s="33"/>
      <c r="M368" s="54">
        <f t="shared" si="134"/>
        <v>0</v>
      </c>
      <c r="N368" s="54"/>
      <c r="O368" s="54"/>
      <c r="P368" s="54"/>
      <c r="Q368" s="68">
        <f t="shared" si="135"/>
        <v>0</v>
      </c>
      <c r="R368" s="68"/>
      <c r="S368" s="68"/>
      <c r="T368" s="68"/>
      <c r="U368" s="129"/>
      <c r="V368" s="33">
        <f t="shared" si="136"/>
        <v>0</v>
      </c>
      <c r="W368" s="130" t="s">
        <v>2987</v>
      </c>
    </row>
    <row r="369" s="4" customFormat="1" ht="26.25" customHeight="1" spans="1:23">
      <c r="A369" s="117">
        <v>301001</v>
      </c>
      <c r="B369" s="29" t="s">
        <v>2981</v>
      </c>
      <c r="C369" s="118" t="s">
        <v>2982</v>
      </c>
      <c r="D369" s="119" t="s">
        <v>2083</v>
      </c>
      <c r="E369" s="30" t="s">
        <v>2988</v>
      </c>
      <c r="F369" s="32" t="s">
        <v>2989</v>
      </c>
      <c r="G369" s="33">
        <f t="shared" si="133"/>
        <v>4</v>
      </c>
      <c r="H369" s="33">
        <v>4</v>
      </c>
      <c r="I369" s="33"/>
      <c r="J369" s="33"/>
      <c r="K369" s="33"/>
      <c r="L369" s="33"/>
      <c r="M369" s="54">
        <f t="shared" si="134"/>
        <v>0</v>
      </c>
      <c r="N369" s="54"/>
      <c r="O369" s="54"/>
      <c r="P369" s="54"/>
      <c r="Q369" s="68">
        <f t="shared" si="135"/>
        <v>0</v>
      </c>
      <c r="R369" s="68"/>
      <c r="S369" s="68"/>
      <c r="T369" s="68"/>
      <c r="U369" s="129"/>
      <c r="V369" s="33">
        <f t="shared" si="136"/>
        <v>4</v>
      </c>
      <c r="W369" s="130" t="s">
        <v>2283</v>
      </c>
    </row>
    <row r="370" s="4" customFormat="1" ht="26.25" customHeight="1" spans="1:23">
      <c r="A370" s="117">
        <v>301001</v>
      </c>
      <c r="B370" s="29" t="s">
        <v>2981</v>
      </c>
      <c r="C370" s="118" t="s">
        <v>2982</v>
      </c>
      <c r="D370" s="119" t="s">
        <v>2083</v>
      </c>
      <c r="E370" s="30" t="s">
        <v>2990</v>
      </c>
      <c r="F370" s="32" t="s">
        <v>933</v>
      </c>
      <c r="G370" s="33">
        <f t="shared" si="133"/>
        <v>2</v>
      </c>
      <c r="H370" s="33">
        <v>2</v>
      </c>
      <c r="I370" s="33"/>
      <c r="J370" s="33"/>
      <c r="K370" s="33"/>
      <c r="L370" s="33"/>
      <c r="M370" s="54">
        <f t="shared" si="134"/>
        <v>0</v>
      </c>
      <c r="N370" s="54"/>
      <c r="O370" s="54"/>
      <c r="P370" s="54"/>
      <c r="Q370" s="68">
        <f t="shared" si="135"/>
        <v>0</v>
      </c>
      <c r="R370" s="68"/>
      <c r="S370" s="68"/>
      <c r="T370" s="68"/>
      <c r="U370" s="129"/>
      <c r="V370" s="33">
        <f t="shared" si="136"/>
        <v>2</v>
      </c>
      <c r="W370" s="130" t="s">
        <v>2283</v>
      </c>
    </row>
    <row r="371" s="4" customFormat="1" ht="26.25" customHeight="1" spans="1:23">
      <c r="A371" s="117">
        <v>301001</v>
      </c>
      <c r="B371" s="29" t="s">
        <v>2981</v>
      </c>
      <c r="C371" s="118" t="s">
        <v>2982</v>
      </c>
      <c r="D371" s="119" t="s">
        <v>2083</v>
      </c>
      <c r="E371" s="30" t="s">
        <v>2991</v>
      </c>
      <c r="F371" s="32" t="s">
        <v>1005</v>
      </c>
      <c r="G371" s="33">
        <f t="shared" si="133"/>
        <v>94</v>
      </c>
      <c r="H371" s="33">
        <v>94</v>
      </c>
      <c r="I371" s="33"/>
      <c r="J371" s="33"/>
      <c r="K371" s="33"/>
      <c r="L371" s="33">
        <v>12</v>
      </c>
      <c r="M371" s="54">
        <f t="shared" si="134"/>
        <v>0</v>
      </c>
      <c r="N371" s="54"/>
      <c r="O371" s="54"/>
      <c r="P371" s="54"/>
      <c r="Q371" s="68">
        <f t="shared" si="135"/>
        <v>0</v>
      </c>
      <c r="R371" s="68"/>
      <c r="S371" s="68"/>
      <c r="T371" s="68"/>
      <c r="U371" s="129"/>
      <c r="V371" s="33">
        <f t="shared" si="136"/>
        <v>106</v>
      </c>
      <c r="W371" s="130" t="s">
        <v>2283</v>
      </c>
    </row>
    <row r="372" s="4" customFormat="1" ht="26.25" customHeight="1" spans="1:23">
      <c r="A372" s="117">
        <v>301001</v>
      </c>
      <c r="B372" s="29" t="s">
        <v>2981</v>
      </c>
      <c r="C372" s="118" t="s">
        <v>2982</v>
      </c>
      <c r="D372" s="119" t="s">
        <v>2083</v>
      </c>
      <c r="E372" s="30" t="s">
        <v>2991</v>
      </c>
      <c r="F372" s="32" t="s">
        <v>1005</v>
      </c>
      <c r="G372" s="33">
        <f t="shared" si="133"/>
        <v>0</v>
      </c>
      <c r="H372" s="33"/>
      <c r="I372" s="33"/>
      <c r="J372" s="33"/>
      <c r="K372" s="33"/>
      <c r="L372" s="33"/>
      <c r="M372" s="54">
        <f t="shared" si="134"/>
        <v>0</v>
      </c>
      <c r="N372" s="54"/>
      <c r="O372" s="54"/>
      <c r="P372" s="54"/>
      <c r="Q372" s="68">
        <f t="shared" si="135"/>
        <v>0</v>
      </c>
      <c r="R372" s="68"/>
      <c r="S372" s="68"/>
      <c r="T372" s="68"/>
      <c r="U372" s="129"/>
      <c r="V372" s="33">
        <f t="shared" si="136"/>
        <v>0</v>
      </c>
      <c r="W372" s="130" t="s">
        <v>2987</v>
      </c>
    </row>
    <row r="373" s="4" customFormat="1" ht="26.25" customHeight="1" spans="1:23">
      <c r="A373" s="117">
        <v>301001</v>
      </c>
      <c r="B373" s="29" t="s">
        <v>2981</v>
      </c>
      <c r="C373" s="118" t="s">
        <v>2982</v>
      </c>
      <c r="D373" s="119" t="s">
        <v>2083</v>
      </c>
      <c r="E373" s="121" t="s">
        <v>2992</v>
      </c>
      <c r="F373" s="35" t="s">
        <v>2317</v>
      </c>
      <c r="G373" s="33">
        <f t="shared" si="133"/>
        <v>0</v>
      </c>
      <c r="H373" s="33"/>
      <c r="I373" s="33"/>
      <c r="J373" s="33"/>
      <c r="K373" s="55">
        <v>3.1</v>
      </c>
      <c r="L373" s="33"/>
      <c r="M373" s="54">
        <f t="shared" si="134"/>
        <v>0</v>
      </c>
      <c r="N373" s="54"/>
      <c r="O373" s="54"/>
      <c r="P373" s="54"/>
      <c r="Q373" s="68">
        <f t="shared" si="135"/>
        <v>0</v>
      </c>
      <c r="R373" s="68"/>
      <c r="S373" s="68"/>
      <c r="T373" s="68"/>
      <c r="U373" s="129"/>
      <c r="V373" s="33">
        <f t="shared" si="136"/>
        <v>3.1</v>
      </c>
      <c r="W373" s="130" t="s">
        <v>2283</v>
      </c>
    </row>
    <row r="374" s="4" customFormat="1" ht="26.25" customHeight="1" spans="1:23">
      <c r="A374" s="117">
        <v>301001</v>
      </c>
      <c r="B374" s="29" t="s">
        <v>2981</v>
      </c>
      <c r="C374" s="118" t="s">
        <v>2993</v>
      </c>
      <c r="D374" s="135" t="s">
        <v>2994</v>
      </c>
      <c r="E374" s="37" t="s">
        <v>2995</v>
      </c>
      <c r="F374" s="32" t="s">
        <v>1007</v>
      </c>
      <c r="G374" s="33">
        <f t="shared" si="133"/>
        <v>98</v>
      </c>
      <c r="H374" s="33">
        <v>98</v>
      </c>
      <c r="I374" s="33"/>
      <c r="J374" s="33"/>
      <c r="K374" s="33"/>
      <c r="L374" s="33"/>
      <c r="M374" s="54">
        <f t="shared" si="134"/>
        <v>0</v>
      </c>
      <c r="N374" s="54"/>
      <c r="O374" s="54"/>
      <c r="P374" s="54"/>
      <c r="Q374" s="68">
        <f t="shared" si="135"/>
        <v>0</v>
      </c>
      <c r="R374" s="68"/>
      <c r="S374" s="68"/>
      <c r="T374" s="68"/>
      <c r="U374" s="129">
        <v>23.48</v>
      </c>
      <c r="V374" s="33">
        <f t="shared" si="136"/>
        <v>74.52</v>
      </c>
      <c r="W374" s="130" t="s">
        <v>2283</v>
      </c>
    </row>
    <row r="375" s="4" customFormat="1" ht="26.25" customHeight="1" spans="1:23">
      <c r="A375" s="117">
        <v>301001</v>
      </c>
      <c r="B375" s="29" t="s">
        <v>2981</v>
      </c>
      <c r="C375" s="118" t="s">
        <v>2993</v>
      </c>
      <c r="D375" s="86" t="s">
        <v>2994</v>
      </c>
      <c r="E375" s="30" t="s">
        <v>2996</v>
      </c>
      <c r="F375" s="86" t="s">
        <v>1012</v>
      </c>
      <c r="G375" s="33">
        <f t="shared" si="133"/>
        <v>0</v>
      </c>
      <c r="H375" s="33"/>
      <c r="I375" s="33"/>
      <c r="J375" s="33"/>
      <c r="K375" s="33"/>
      <c r="L375" s="33"/>
      <c r="M375" s="54">
        <f t="shared" si="134"/>
        <v>0</v>
      </c>
      <c r="N375" s="54"/>
      <c r="O375" s="54"/>
      <c r="P375" s="54"/>
      <c r="Q375" s="68">
        <f t="shared" si="135"/>
        <v>108</v>
      </c>
      <c r="R375" s="68"/>
      <c r="S375" s="68">
        <v>108</v>
      </c>
      <c r="T375" s="68"/>
      <c r="U375" s="129"/>
      <c r="V375" s="68">
        <f t="shared" si="136"/>
        <v>108</v>
      </c>
      <c r="W375" s="91" t="s">
        <v>2997</v>
      </c>
    </row>
    <row r="376" s="4" customFormat="1" ht="26.25" customHeight="1" spans="1:23">
      <c r="A376" s="117">
        <v>301001</v>
      </c>
      <c r="B376" s="29" t="s">
        <v>2981</v>
      </c>
      <c r="C376" s="118" t="s">
        <v>2993</v>
      </c>
      <c r="D376" s="82" t="s">
        <v>2994</v>
      </c>
      <c r="E376" s="121" t="s">
        <v>2996</v>
      </c>
      <c r="F376" s="35" t="s">
        <v>1012</v>
      </c>
      <c r="G376" s="33">
        <f t="shared" si="133"/>
        <v>0</v>
      </c>
      <c r="H376" s="33"/>
      <c r="I376" s="33"/>
      <c r="J376" s="33"/>
      <c r="K376" s="33"/>
      <c r="L376" s="33"/>
      <c r="M376" s="54">
        <f t="shared" si="134"/>
        <v>228.32</v>
      </c>
      <c r="N376" s="54"/>
      <c r="O376" s="54">
        <v>311</v>
      </c>
      <c r="P376" s="54">
        <v>82.68</v>
      </c>
      <c r="Q376" s="68">
        <f t="shared" si="135"/>
        <v>0</v>
      </c>
      <c r="R376" s="68"/>
      <c r="S376" s="68"/>
      <c r="T376" s="68"/>
      <c r="U376" s="129"/>
      <c r="V376" s="54">
        <f t="shared" si="136"/>
        <v>228.32</v>
      </c>
      <c r="W376" s="92" t="s">
        <v>537</v>
      </c>
    </row>
    <row r="377" s="4" customFormat="1" ht="26.25" customHeight="1" spans="1:23">
      <c r="A377" s="117">
        <v>301001</v>
      </c>
      <c r="B377" s="29" t="s">
        <v>2981</v>
      </c>
      <c r="C377" s="118" t="s">
        <v>2993</v>
      </c>
      <c r="D377" s="86" t="s">
        <v>2994</v>
      </c>
      <c r="E377" s="127" t="s">
        <v>2998</v>
      </c>
      <c r="F377" s="38" t="s">
        <v>2999</v>
      </c>
      <c r="G377" s="33">
        <f t="shared" si="133"/>
        <v>0</v>
      </c>
      <c r="H377" s="33"/>
      <c r="I377" s="33"/>
      <c r="J377" s="33"/>
      <c r="K377" s="33"/>
      <c r="L377" s="33"/>
      <c r="M377" s="54">
        <f t="shared" si="134"/>
        <v>0</v>
      </c>
      <c r="N377" s="54"/>
      <c r="O377" s="54"/>
      <c r="P377" s="54"/>
      <c r="Q377" s="68">
        <f t="shared" si="135"/>
        <v>0</v>
      </c>
      <c r="R377" s="68"/>
      <c r="S377" s="68">
        <v>0.93</v>
      </c>
      <c r="T377" s="73">
        <v>0.93</v>
      </c>
      <c r="U377" s="129"/>
      <c r="V377" s="68">
        <f t="shared" si="136"/>
        <v>0</v>
      </c>
      <c r="W377" s="91" t="s">
        <v>2997</v>
      </c>
    </row>
    <row r="378" s="4" customFormat="1" ht="26.25" customHeight="1" spans="1:23">
      <c r="A378" s="117">
        <v>301001</v>
      </c>
      <c r="B378" s="29" t="s">
        <v>2981</v>
      </c>
      <c r="C378" s="118" t="s">
        <v>2993</v>
      </c>
      <c r="D378" s="82" t="s">
        <v>2994</v>
      </c>
      <c r="E378" s="127" t="s">
        <v>2998</v>
      </c>
      <c r="F378" s="35" t="s">
        <v>2999</v>
      </c>
      <c r="G378" s="33">
        <f t="shared" si="133"/>
        <v>0</v>
      </c>
      <c r="H378" s="33"/>
      <c r="I378" s="33"/>
      <c r="J378" s="33"/>
      <c r="K378" s="33"/>
      <c r="L378" s="33"/>
      <c r="M378" s="54">
        <f t="shared" si="134"/>
        <v>3</v>
      </c>
      <c r="N378" s="54"/>
      <c r="O378" s="54">
        <v>3</v>
      </c>
      <c r="P378" s="54"/>
      <c r="Q378" s="68">
        <f t="shared" si="135"/>
        <v>0</v>
      </c>
      <c r="R378" s="68"/>
      <c r="S378" s="68"/>
      <c r="T378" s="68"/>
      <c r="U378" s="129"/>
      <c r="V378" s="54">
        <f t="shared" si="136"/>
        <v>3</v>
      </c>
      <c r="W378" s="92" t="s">
        <v>537</v>
      </c>
    </row>
    <row r="379" s="4" customFormat="1" ht="26.25" customHeight="1" spans="1:23">
      <c r="A379" s="117">
        <v>301001</v>
      </c>
      <c r="B379" s="29" t="s">
        <v>2981</v>
      </c>
      <c r="C379" s="118" t="s">
        <v>2993</v>
      </c>
      <c r="D379" s="82" t="s">
        <v>2994</v>
      </c>
      <c r="E379" s="127" t="s">
        <v>2998</v>
      </c>
      <c r="F379" s="35" t="s">
        <v>2999</v>
      </c>
      <c r="G379" s="33">
        <f t="shared" si="133"/>
        <v>0</v>
      </c>
      <c r="H379" s="33"/>
      <c r="I379" s="33"/>
      <c r="J379" s="33"/>
      <c r="K379" s="33"/>
      <c r="L379" s="33"/>
      <c r="M379" s="54">
        <f t="shared" si="134"/>
        <v>92</v>
      </c>
      <c r="N379" s="54"/>
      <c r="O379" s="54">
        <v>92</v>
      </c>
      <c r="P379" s="54"/>
      <c r="Q379" s="68">
        <f t="shared" si="135"/>
        <v>0</v>
      </c>
      <c r="R379" s="68"/>
      <c r="S379" s="68"/>
      <c r="T379" s="68"/>
      <c r="U379" s="129"/>
      <c r="V379" s="54">
        <f t="shared" si="136"/>
        <v>92</v>
      </c>
      <c r="W379" s="92" t="s">
        <v>704</v>
      </c>
    </row>
    <row r="380" s="4" customFormat="1" ht="26.25" customHeight="1" spans="1:23">
      <c r="A380" s="117">
        <v>301001</v>
      </c>
      <c r="B380" s="29" t="s">
        <v>2981</v>
      </c>
      <c r="C380" s="118" t="s">
        <v>2993</v>
      </c>
      <c r="D380" s="29" t="s">
        <v>2994</v>
      </c>
      <c r="E380" s="30" t="s">
        <v>3000</v>
      </c>
      <c r="F380" s="32" t="s">
        <v>1008</v>
      </c>
      <c r="G380" s="33">
        <f t="shared" si="133"/>
        <v>360</v>
      </c>
      <c r="H380" s="33"/>
      <c r="I380" s="33">
        <v>360</v>
      </c>
      <c r="J380" s="33"/>
      <c r="K380" s="33"/>
      <c r="L380" s="33"/>
      <c r="M380" s="54">
        <f t="shared" si="134"/>
        <v>0</v>
      </c>
      <c r="N380" s="54"/>
      <c r="O380" s="54"/>
      <c r="P380" s="54"/>
      <c r="Q380" s="68">
        <f t="shared" si="135"/>
        <v>0</v>
      </c>
      <c r="R380" s="68"/>
      <c r="S380" s="68"/>
      <c r="T380" s="68"/>
      <c r="U380" s="129">
        <v>360</v>
      </c>
      <c r="V380" s="33">
        <f t="shared" si="136"/>
        <v>0</v>
      </c>
      <c r="W380" s="130" t="s">
        <v>2283</v>
      </c>
    </row>
    <row r="381" s="4" customFormat="1" ht="26.25" customHeight="1" spans="1:23">
      <c r="A381" s="117">
        <v>301001</v>
      </c>
      <c r="B381" s="29" t="s">
        <v>2981</v>
      </c>
      <c r="C381" s="118" t="s">
        <v>1857</v>
      </c>
      <c r="D381" s="120" t="s">
        <v>1858</v>
      </c>
      <c r="E381" s="37" t="s">
        <v>3001</v>
      </c>
      <c r="F381" s="32" t="s">
        <v>1010</v>
      </c>
      <c r="G381" s="33">
        <f t="shared" si="133"/>
        <v>687.5</v>
      </c>
      <c r="H381" s="33">
        <v>687.5</v>
      </c>
      <c r="I381" s="33"/>
      <c r="J381" s="33"/>
      <c r="K381" s="33"/>
      <c r="L381" s="33"/>
      <c r="M381" s="54">
        <f t="shared" si="134"/>
        <v>0</v>
      </c>
      <c r="N381" s="54"/>
      <c r="O381" s="54"/>
      <c r="P381" s="54"/>
      <c r="Q381" s="68">
        <f t="shared" si="135"/>
        <v>0</v>
      </c>
      <c r="R381" s="68"/>
      <c r="S381" s="68"/>
      <c r="T381" s="68"/>
      <c r="U381" s="129">
        <v>45</v>
      </c>
      <c r="V381" s="70">
        <f t="shared" si="136"/>
        <v>642.5</v>
      </c>
      <c r="W381" s="130" t="s">
        <v>2283</v>
      </c>
    </row>
    <row r="382" s="4" customFormat="1" ht="26.25" customHeight="1" spans="1:23">
      <c r="A382" s="117">
        <v>301001</v>
      </c>
      <c r="B382" s="29" t="s">
        <v>2981</v>
      </c>
      <c r="C382" s="118" t="s">
        <v>1857</v>
      </c>
      <c r="D382" s="29" t="s">
        <v>1858</v>
      </c>
      <c r="E382" s="30" t="s">
        <v>3002</v>
      </c>
      <c r="F382" s="32" t="s">
        <v>3003</v>
      </c>
      <c r="G382" s="33">
        <f t="shared" si="133"/>
        <v>500</v>
      </c>
      <c r="H382" s="33">
        <v>500</v>
      </c>
      <c r="I382" s="33"/>
      <c r="J382" s="33"/>
      <c r="K382" s="33"/>
      <c r="L382" s="33"/>
      <c r="M382" s="54">
        <f t="shared" si="134"/>
        <v>0</v>
      </c>
      <c r="N382" s="54"/>
      <c r="O382" s="54"/>
      <c r="P382" s="54"/>
      <c r="Q382" s="68">
        <f t="shared" si="135"/>
        <v>0</v>
      </c>
      <c r="R382" s="68"/>
      <c r="S382" s="68"/>
      <c r="T382" s="68"/>
      <c r="U382" s="129"/>
      <c r="V382" s="33">
        <f t="shared" si="136"/>
        <v>500</v>
      </c>
      <c r="W382" s="130" t="s">
        <v>2283</v>
      </c>
    </row>
    <row r="383" s="4" customFormat="1" ht="26.25" customHeight="1" spans="1:23">
      <c r="A383" s="117">
        <v>301001</v>
      </c>
      <c r="B383" s="29" t="s">
        <v>2981</v>
      </c>
      <c r="C383" s="118" t="s">
        <v>1857</v>
      </c>
      <c r="D383" s="29" t="s">
        <v>1858</v>
      </c>
      <c r="E383" s="30" t="s">
        <v>3002</v>
      </c>
      <c r="F383" s="32" t="s">
        <v>3003</v>
      </c>
      <c r="G383" s="33">
        <f t="shared" si="133"/>
        <v>0</v>
      </c>
      <c r="H383" s="33"/>
      <c r="I383" s="33"/>
      <c r="J383" s="33"/>
      <c r="K383" s="33"/>
      <c r="L383" s="33"/>
      <c r="M383" s="54">
        <f t="shared" si="134"/>
        <v>0</v>
      </c>
      <c r="N383" s="54"/>
      <c r="O383" s="54"/>
      <c r="P383" s="54"/>
      <c r="Q383" s="68">
        <f t="shared" si="135"/>
        <v>0</v>
      </c>
      <c r="R383" s="68"/>
      <c r="S383" s="68"/>
      <c r="T383" s="68"/>
      <c r="U383" s="129"/>
      <c r="V383" s="33">
        <f t="shared" si="136"/>
        <v>0</v>
      </c>
      <c r="W383" s="130" t="s">
        <v>2987</v>
      </c>
    </row>
    <row r="384" s="4" customFormat="1" ht="26.25" customHeight="1" spans="1:23">
      <c r="A384" s="117">
        <v>301001</v>
      </c>
      <c r="B384" s="29" t="s">
        <v>2981</v>
      </c>
      <c r="C384" s="118" t="s">
        <v>1857</v>
      </c>
      <c r="D384" s="29" t="s">
        <v>1858</v>
      </c>
      <c r="E384" s="30" t="s">
        <v>2996</v>
      </c>
      <c r="F384" s="32" t="s">
        <v>1012</v>
      </c>
      <c r="G384" s="33">
        <f t="shared" si="133"/>
        <v>2000</v>
      </c>
      <c r="H384" s="33">
        <v>2000</v>
      </c>
      <c r="I384" s="33"/>
      <c r="J384" s="33"/>
      <c r="K384" s="33"/>
      <c r="L384" s="33"/>
      <c r="M384" s="54">
        <f t="shared" si="134"/>
        <v>0</v>
      </c>
      <c r="N384" s="54"/>
      <c r="O384" s="54"/>
      <c r="P384" s="54"/>
      <c r="Q384" s="68">
        <f t="shared" si="135"/>
        <v>0</v>
      </c>
      <c r="R384" s="68"/>
      <c r="S384" s="68"/>
      <c r="T384" s="68"/>
      <c r="U384" s="129">
        <v>1700</v>
      </c>
      <c r="V384" s="33">
        <f t="shared" si="136"/>
        <v>300</v>
      </c>
      <c r="W384" s="130" t="s">
        <v>2283</v>
      </c>
    </row>
    <row r="385" s="4" customFormat="1" ht="26.25" customHeight="1" spans="1:23">
      <c r="A385" s="117">
        <v>301001</v>
      </c>
      <c r="B385" s="29" t="s">
        <v>2981</v>
      </c>
      <c r="C385" s="118" t="s">
        <v>1857</v>
      </c>
      <c r="D385" s="86" t="s">
        <v>1858</v>
      </c>
      <c r="E385" s="30" t="s">
        <v>2996</v>
      </c>
      <c r="F385" s="86" t="s">
        <v>1012</v>
      </c>
      <c r="G385" s="33">
        <f t="shared" si="133"/>
        <v>0</v>
      </c>
      <c r="H385" s="33"/>
      <c r="I385" s="33"/>
      <c r="J385" s="33"/>
      <c r="K385" s="33"/>
      <c r="L385" s="33"/>
      <c r="M385" s="54">
        <f t="shared" si="134"/>
        <v>0</v>
      </c>
      <c r="N385" s="54"/>
      <c r="O385" s="54"/>
      <c r="P385" s="54"/>
      <c r="Q385" s="68">
        <f t="shared" si="135"/>
        <v>724.1</v>
      </c>
      <c r="R385" s="68"/>
      <c r="S385" s="68">
        <v>1013.79</v>
      </c>
      <c r="T385" s="68">
        <v>289.69</v>
      </c>
      <c r="U385" s="129"/>
      <c r="V385" s="68">
        <f t="shared" si="136"/>
        <v>724.1</v>
      </c>
      <c r="W385" s="91" t="s">
        <v>3004</v>
      </c>
    </row>
    <row r="386" s="4" customFormat="1" ht="26.25" customHeight="1" spans="1:23">
      <c r="A386" s="117">
        <v>301001</v>
      </c>
      <c r="B386" s="29" t="s">
        <v>2981</v>
      </c>
      <c r="C386" s="118" t="s">
        <v>1857</v>
      </c>
      <c r="D386" s="82" t="s">
        <v>1858</v>
      </c>
      <c r="E386" s="30" t="s">
        <v>2996</v>
      </c>
      <c r="F386" s="32" t="s">
        <v>1012</v>
      </c>
      <c r="G386" s="33">
        <f t="shared" si="133"/>
        <v>0</v>
      </c>
      <c r="H386" s="33"/>
      <c r="I386" s="33"/>
      <c r="J386" s="33"/>
      <c r="K386" s="33"/>
      <c r="L386" s="33"/>
      <c r="M386" s="54">
        <f t="shared" si="134"/>
        <v>545</v>
      </c>
      <c r="N386" s="54"/>
      <c r="O386" s="54">
        <v>545</v>
      </c>
      <c r="P386" s="54"/>
      <c r="Q386" s="68">
        <f t="shared" si="135"/>
        <v>0</v>
      </c>
      <c r="R386" s="68"/>
      <c r="S386" s="68"/>
      <c r="T386" s="68"/>
      <c r="U386" s="129"/>
      <c r="V386" s="54">
        <f t="shared" si="136"/>
        <v>545</v>
      </c>
      <c r="W386" s="92" t="s">
        <v>481</v>
      </c>
    </row>
    <row r="387" s="4" customFormat="1" ht="26.25" customHeight="1" spans="1:23">
      <c r="A387" s="117">
        <v>301001</v>
      </c>
      <c r="B387" s="29" t="s">
        <v>2981</v>
      </c>
      <c r="C387" s="118" t="s">
        <v>1857</v>
      </c>
      <c r="D387" s="82" t="s">
        <v>1858</v>
      </c>
      <c r="E387" s="30" t="s">
        <v>2996</v>
      </c>
      <c r="F387" s="32" t="s">
        <v>1012</v>
      </c>
      <c r="G387" s="33">
        <f t="shared" si="133"/>
        <v>0</v>
      </c>
      <c r="H387" s="33"/>
      <c r="I387" s="33"/>
      <c r="J387" s="33"/>
      <c r="K387" s="33"/>
      <c r="L387" s="33"/>
      <c r="M387" s="54">
        <f t="shared" si="134"/>
        <v>50</v>
      </c>
      <c r="N387" s="54"/>
      <c r="O387" s="54">
        <v>50</v>
      </c>
      <c r="P387" s="54"/>
      <c r="Q387" s="68">
        <f t="shared" si="135"/>
        <v>0</v>
      </c>
      <c r="R387" s="68"/>
      <c r="S387" s="68"/>
      <c r="T387" s="68"/>
      <c r="U387" s="129"/>
      <c r="V387" s="54">
        <f t="shared" si="136"/>
        <v>50</v>
      </c>
      <c r="W387" s="92" t="s">
        <v>643</v>
      </c>
    </row>
    <row r="388" s="4" customFormat="1" ht="26.25" customHeight="1" spans="1:23">
      <c r="A388" s="117">
        <v>301001</v>
      </c>
      <c r="B388" s="29" t="s">
        <v>2981</v>
      </c>
      <c r="C388" s="118" t="s">
        <v>1857</v>
      </c>
      <c r="D388" s="82" t="s">
        <v>1858</v>
      </c>
      <c r="E388" s="127" t="s">
        <v>3005</v>
      </c>
      <c r="F388" s="35" t="s">
        <v>3006</v>
      </c>
      <c r="G388" s="33">
        <f t="shared" si="133"/>
        <v>0</v>
      </c>
      <c r="H388" s="33"/>
      <c r="I388" s="33"/>
      <c r="J388" s="33"/>
      <c r="K388" s="33"/>
      <c r="L388" s="33"/>
      <c r="M388" s="54">
        <f t="shared" si="134"/>
        <v>9</v>
      </c>
      <c r="N388" s="54"/>
      <c r="O388" s="54">
        <v>9</v>
      </c>
      <c r="P388" s="54"/>
      <c r="Q388" s="68">
        <f t="shared" si="135"/>
        <v>0</v>
      </c>
      <c r="R388" s="68"/>
      <c r="S388" s="68"/>
      <c r="T388" s="68"/>
      <c r="U388" s="129"/>
      <c r="V388" s="54">
        <f t="shared" si="136"/>
        <v>9</v>
      </c>
      <c r="W388" s="92" t="s">
        <v>558</v>
      </c>
    </row>
    <row r="389" s="4" customFormat="1" ht="26.25" customHeight="1" spans="1:23">
      <c r="A389" s="117">
        <v>301001</v>
      </c>
      <c r="B389" s="29" t="s">
        <v>2981</v>
      </c>
      <c r="C389" s="118" t="s">
        <v>1857</v>
      </c>
      <c r="D389" s="120" t="s">
        <v>1858</v>
      </c>
      <c r="E389" s="37" t="s">
        <v>3007</v>
      </c>
      <c r="F389" s="32" t="s">
        <v>3008</v>
      </c>
      <c r="G389" s="33">
        <f t="shared" si="133"/>
        <v>40</v>
      </c>
      <c r="H389" s="33">
        <v>40</v>
      </c>
      <c r="I389" s="33"/>
      <c r="J389" s="33"/>
      <c r="K389" s="33"/>
      <c r="L389" s="33"/>
      <c r="M389" s="54">
        <f t="shared" si="134"/>
        <v>0</v>
      </c>
      <c r="N389" s="54"/>
      <c r="O389" s="54"/>
      <c r="P389" s="54"/>
      <c r="Q389" s="68">
        <f t="shared" si="135"/>
        <v>0</v>
      </c>
      <c r="R389" s="68"/>
      <c r="S389" s="68"/>
      <c r="T389" s="68"/>
      <c r="U389" s="129">
        <v>20</v>
      </c>
      <c r="V389" s="70">
        <f t="shared" si="136"/>
        <v>20</v>
      </c>
      <c r="W389" s="130" t="s">
        <v>2283</v>
      </c>
    </row>
    <row r="390" s="4" customFormat="1" ht="26.25" customHeight="1" spans="1:23">
      <c r="A390" s="117">
        <v>301001</v>
      </c>
      <c r="B390" s="29" t="s">
        <v>2981</v>
      </c>
      <c r="C390" s="118" t="s">
        <v>1857</v>
      </c>
      <c r="D390" s="29" t="s">
        <v>1858</v>
      </c>
      <c r="E390" s="30" t="s">
        <v>3009</v>
      </c>
      <c r="F390" s="32" t="s">
        <v>3010</v>
      </c>
      <c r="G390" s="33">
        <f t="shared" si="133"/>
        <v>15</v>
      </c>
      <c r="H390" s="33">
        <v>15</v>
      </c>
      <c r="I390" s="33"/>
      <c r="J390" s="33"/>
      <c r="K390" s="33"/>
      <c r="L390" s="33"/>
      <c r="M390" s="54">
        <f t="shared" si="134"/>
        <v>0</v>
      </c>
      <c r="N390" s="54"/>
      <c r="O390" s="54"/>
      <c r="P390" s="54"/>
      <c r="Q390" s="68">
        <f t="shared" si="135"/>
        <v>0</v>
      </c>
      <c r="R390" s="68"/>
      <c r="S390" s="68"/>
      <c r="T390" s="68"/>
      <c r="U390" s="129"/>
      <c r="V390" s="33">
        <f t="shared" si="136"/>
        <v>15</v>
      </c>
      <c r="W390" s="130" t="s">
        <v>2283</v>
      </c>
    </row>
    <row r="391" s="4" customFormat="1" ht="26.25" customHeight="1" spans="1:23">
      <c r="A391" s="117">
        <v>301001</v>
      </c>
      <c r="B391" s="29" t="s">
        <v>2981</v>
      </c>
      <c r="C391" s="118" t="s">
        <v>1857</v>
      </c>
      <c r="D391" s="119" t="s">
        <v>1858</v>
      </c>
      <c r="E391" s="37" t="s">
        <v>3011</v>
      </c>
      <c r="F391" s="32" t="s">
        <v>1011</v>
      </c>
      <c r="G391" s="33">
        <f t="shared" si="133"/>
        <v>10</v>
      </c>
      <c r="H391" s="33">
        <v>10</v>
      </c>
      <c r="I391" s="33"/>
      <c r="J391" s="33"/>
      <c r="K391" s="33"/>
      <c r="L391" s="33"/>
      <c r="M391" s="54">
        <f t="shared" si="134"/>
        <v>0</v>
      </c>
      <c r="N391" s="54"/>
      <c r="O391" s="54"/>
      <c r="P391" s="54"/>
      <c r="Q391" s="68">
        <f t="shared" si="135"/>
        <v>0</v>
      </c>
      <c r="R391" s="68"/>
      <c r="S391" s="68"/>
      <c r="T391" s="68"/>
      <c r="U391" s="129">
        <v>1</v>
      </c>
      <c r="V391" s="33">
        <f t="shared" si="136"/>
        <v>9</v>
      </c>
      <c r="W391" s="130" t="s">
        <v>2283</v>
      </c>
    </row>
    <row r="392" s="4" customFormat="1" ht="26.25" customHeight="1" spans="1:23">
      <c r="A392" s="117">
        <v>301001</v>
      </c>
      <c r="B392" s="29" t="s">
        <v>2981</v>
      </c>
      <c r="C392" s="118" t="s">
        <v>1857</v>
      </c>
      <c r="D392" s="82" t="s">
        <v>1858</v>
      </c>
      <c r="E392" s="37" t="s">
        <v>3012</v>
      </c>
      <c r="F392" s="32" t="s">
        <v>3013</v>
      </c>
      <c r="G392" s="33">
        <f t="shared" si="133"/>
        <v>10</v>
      </c>
      <c r="H392" s="33"/>
      <c r="I392" s="33"/>
      <c r="J392" s="33">
        <v>10</v>
      </c>
      <c r="K392" s="33"/>
      <c r="L392" s="33"/>
      <c r="M392" s="54">
        <f t="shared" si="134"/>
        <v>-10</v>
      </c>
      <c r="N392" s="54">
        <v>-10</v>
      </c>
      <c r="O392" s="54"/>
      <c r="P392" s="54"/>
      <c r="Q392" s="68">
        <f t="shared" si="135"/>
        <v>0</v>
      </c>
      <c r="R392" s="68"/>
      <c r="S392" s="68"/>
      <c r="T392" s="68"/>
      <c r="U392" s="129"/>
      <c r="V392" s="54">
        <f t="shared" si="136"/>
        <v>0</v>
      </c>
      <c r="W392" s="92" t="s">
        <v>2283</v>
      </c>
    </row>
    <row r="393" s="4" customFormat="1" ht="26.25" customHeight="1" spans="1:23">
      <c r="A393" s="117">
        <v>301001</v>
      </c>
      <c r="B393" s="29" t="s">
        <v>2981</v>
      </c>
      <c r="C393" s="118" t="s">
        <v>1857</v>
      </c>
      <c r="D393" s="29" t="s">
        <v>1858</v>
      </c>
      <c r="E393" s="37" t="s">
        <v>3014</v>
      </c>
      <c r="F393" s="32" t="s">
        <v>1014</v>
      </c>
      <c r="G393" s="33">
        <f t="shared" si="133"/>
        <v>111.60642</v>
      </c>
      <c r="H393" s="33">
        <v>111.60642</v>
      </c>
      <c r="I393" s="33"/>
      <c r="J393" s="33"/>
      <c r="K393" s="33"/>
      <c r="L393" s="33"/>
      <c r="M393" s="54">
        <f t="shared" si="134"/>
        <v>0</v>
      </c>
      <c r="N393" s="54"/>
      <c r="O393" s="54"/>
      <c r="P393" s="54"/>
      <c r="Q393" s="68">
        <f t="shared" si="135"/>
        <v>0</v>
      </c>
      <c r="R393" s="68"/>
      <c r="S393" s="68"/>
      <c r="T393" s="68"/>
      <c r="U393" s="129">
        <v>0.78</v>
      </c>
      <c r="V393" s="33">
        <f t="shared" si="136"/>
        <v>110.82642</v>
      </c>
      <c r="W393" s="130" t="s">
        <v>2283</v>
      </c>
    </row>
    <row r="394" s="4" customFormat="1" ht="26.25" customHeight="1" spans="1:23">
      <c r="A394" s="117">
        <v>301001</v>
      </c>
      <c r="B394" s="29" t="s">
        <v>2981</v>
      </c>
      <c r="C394" s="118" t="s">
        <v>1857</v>
      </c>
      <c r="D394" s="82" t="s">
        <v>1858</v>
      </c>
      <c r="E394" s="127" t="s">
        <v>3015</v>
      </c>
      <c r="F394" s="35" t="s">
        <v>3016</v>
      </c>
      <c r="G394" s="33">
        <f t="shared" si="133"/>
        <v>0</v>
      </c>
      <c r="H394" s="33"/>
      <c r="I394" s="33"/>
      <c r="J394" s="33"/>
      <c r="K394" s="33"/>
      <c r="L394" s="33"/>
      <c r="M394" s="54">
        <f t="shared" si="134"/>
        <v>16</v>
      </c>
      <c r="N394" s="54"/>
      <c r="O394" s="54">
        <v>16</v>
      </c>
      <c r="P394" s="54"/>
      <c r="Q394" s="68">
        <f t="shared" si="135"/>
        <v>0</v>
      </c>
      <c r="R394" s="68"/>
      <c r="S394" s="68"/>
      <c r="T394" s="68"/>
      <c r="U394" s="129"/>
      <c r="V394" s="54">
        <f t="shared" si="136"/>
        <v>16</v>
      </c>
      <c r="W394" s="92" t="s">
        <v>481</v>
      </c>
    </row>
    <row r="395" s="4" customFormat="1" ht="26.25" customHeight="1" spans="1:23">
      <c r="A395" s="117">
        <v>301001</v>
      </c>
      <c r="B395" s="29" t="s">
        <v>2981</v>
      </c>
      <c r="C395" s="118" t="s">
        <v>1857</v>
      </c>
      <c r="D395" s="82" t="s">
        <v>1858</v>
      </c>
      <c r="E395" s="127" t="s">
        <v>3015</v>
      </c>
      <c r="F395" s="35" t="s">
        <v>3016</v>
      </c>
      <c r="G395" s="33">
        <f t="shared" si="133"/>
        <v>0</v>
      </c>
      <c r="H395" s="33"/>
      <c r="I395" s="33"/>
      <c r="J395" s="33"/>
      <c r="K395" s="33"/>
      <c r="L395" s="33"/>
      <c r="M395" s="54">
        <f t="shared" si="134"/>
        <v>37</v>
      </c>
      <c r="N395" s="54"/>
      <c r="O395" s="54">
        <v>77</v>
      </c>
      <c r="P395" s="54">
        <v>40</v>
      </c>
      <c r="Q395" s="68">
        <f t="shared" si="135"/>
        <v>0</v>
      </c>
      <c r="R395" s="68"/>
      <c r="S395" s="68"/>
      <c r="T395" s="68"/>
      <c r="U395" s="129"/>
      <c r="V395" s="54">
        <f t="shared" si="136"/>
        <v>37</v>
      </c>
      <c r="W395" s="92" t="s">
        <v>643</v>
      </c>
    </row>
    <row r="396" s="4" customFormat="1" ht="26.25" customHeight="1" spans="1:23">
      <c r="A396" s="117">
        <v>301001</v>
      </c>
      <c r="B396" s="29" t="s">
        <v>2981</v>
      </c>
      <c r="C396" s="118" t="s">
        <v>1857</v>
      </c>
      <c r="D396" s="82" t="s">
        <v>1858</v>
      </c>
      <c r="E396" s="127" t="s">
        <v>3017</v>
      </c>
      <c r="F396" s="35" t="s">
        <v>3018</v>
      </c>
      <c r="G396" s="33">
        <f t="shared" si="133"/>
        <v>0</v>
      </c>
      <c r="H396" s="33"/>
      <c r="I396" s="33"/>
      <c r="J396" s="33"/>
      <c r="K396" s="33"/>
      <c r="L396" s="33"/>
      <c r="M396" s="54">
        <f t="shared" si="134"/>
        <v>120</v>
      </c>
      <c r="N396" s="54"/>
      <c r="O396" s="54">
        <v>120</v>
      </c>
      <c r="P396" s="54"/>
      <c r="Q396" s="68">
        <f t="shared" si="135"/>
        <v>0</v>
      </c>
      <c r="R396" s="68"/>
      <c r="S396" s="68"/>
      <c r="T396" s="68"/>
      <c r="U396" s="129"/>
      <c r="V396" s="54">
        <f t="shared" si="136"/>
        <v>120</v>
      </c>
      <c r="W396" s="92" t="s">
        <v>481</v>
      </c>
    </row>
    <row r="397" s="4" customFormat="1" ht="26.25" customHeight="1" spans="1:23">
      <c r="A397" s="117">
        <v>301001</v>
      </c>
      <c r="B397" s="29" t="s">
        <v>2981</v>
      </c>
      <c r="C397" s="118" t="s">
        <v>1857</v>
      </c>
      <c r="D397" s="82" t="s">
        <v>1858</v>
      </c>
      <c r="E397" s="127" t="s">
        <v>3017</v>
      </c>
      <c r="F397" s="35" t="s">
        <v>3018</v>
      </c>
      <c r="G397" s="33">
        <f t="shared" si="133"/>
        <v>0</v>
      </c>
      <c r="H397" s="33"/>
      <c r="I397" s="33"/>
      <c r="J397" s="33"/>
      <c r="K397" s="33"/>
      <c r="L397" s="33"/>
      <c r="M397" s="54">
        <f t="shared" si="134"/>
        <v>9</v>
      </c>
      <c r="N397" s="54"/>
      <c r="O397" s="54">
        <v>9</v>
      </c>
      <c r="P397" s="54"/>
      <c r="Q397" s="68">
        <f t="shared" si="135"/>
        <v>0</v>
      </c>
      <c r="R397" s="68"/>
      <c r="S397" s="68"/>
      <c r="T397" s="68"/>
      <c r="U397" s="129"/>
      <c r="V397" s="54">
        <f t="shared" si="136"/>
        <v>9</v>
      </c>
      <c r="W397" s="92" t="s">
        <v>643</v>
      </c>
    </row>
    <row r="398" s="4" customFormat="1" ht="26.25" customHeight="1" spans="1:23">
      <c r="A398" s="117">
        <v>301001</v>
      </c>
      <c r="B398" s="29" t="s">
        <v>2981</v>
      </c>
      <c r="C398" s="118" t="s">
        <v>1785</v>
      </c>
      <c r="D398" s="86" t="s">
        <v>1786</v>
      </c>
      <c r="E398" s="30" t="s">
        <v>2996</v>
      </c>
      <c r="F398" s="86" t="s">
        <v>1012</v>
      </c>
      <c r="G398" s="33">
        <f t="shared" si="133"/>
        <v>0</v>
      </c>
      <c r="H398" s="33"/>
      <c r="I398" s="33"/>
      <c r="J398" s="33"/>
      <c r="K398" s="33"/>
      <c r="L398" s="33"/>
      <c r="M398" s="54">
        <f t="shared" si="134"/>
        <v>0</v>
      </c>
      <c r="N398" s="54"/>
      <c r="O398" s="54"/>
      <c r="P398" s="54"/>
      <c r="Q398" s="68">
        <f t="shared" si="135"/>
        <v>77.8</v>
      </c>
      <c r="R398" s="68"/>
      <c r="S398" s="73">
        <v>77.8</v>
      </c>
      <c r="T398" s="68"/>
      <c r="U398" s="129"/>
      <c r="V398" s="68">
        <f t="shared" si="136"/>
        <v>77.8</v>
      </c>
      <c r="W398" s="91" t="s">
        <v>3019</v>
      </c>
    </row>
    <row r="399" s="4" customFormat="1" ht="26.25" customHeight="1" spans="1:23">
      <c r="A399" s="117">
        <v>301001</v>
      </c>
      <c r="B399" s="29" t="s">
        <v>2981</v>
      </c>
      <c r="C399" s="118" t="s">
        <v>1785</v>
      </c>
      <c r="D399" s="86" t="s">
        <v>1786</v>
      </c>
      <c r="E399" s="30" t="s">
        <v>2996</v>
      </c>
      <c r="F399" s="86" t="s">
        <v>1012</v>
      </c>
      <c r="G399" s="33">
        <f t="shared" si="133"/>
        <v>0</v>
      </c>
      <c r="H399" s="33"/>
      <c r="I399" s="33"/>
      <c r="J399" s="33"/>
      <c r="K399" s="33"/>
      <c r="L399" s="33"/>
      <c r="M399" s="54">
        <f t="shared" si="134"/>
        <v>0</v>
      </c>
      <c r="N399" s="54"/>
      <c r="O399" s="54"/>
      <c r="P399" s="54"/>
      <c r="Q399" s="68">
        <f t="shared" si="135"/>
        <v>382.706909</v>
      </c>
      <c r="R399" s="68"/>
      <c r="S399" s="68">
        <v>382.706909</v>
      </c>
      <c r="T399" s="68"/>
      <c r="U399" s="129"/>
      <c r="V399" s="68">
        <f t="shared" si="136"/>
        <v>382.706909</v>
      </c>
      <c r="W399" s="91" t="s">
        <v>3020</v>
      </c>
    </row>
    <row r="400" s="4" customFormat="1" ht="26.25" customHeight="1" spans="1:23">
      <c r="A400" s="117">
        <v>301001</v>
      </c>
      <c r="B400" s="29" t="s">
        <v>2981</v>
      </c>
      <c r="C400" s="118" t="s">
        <v>1785</v>
      </c>
      <c r="D400" s="82" t="s">
        <v>1786</v>
      </c>
      <c r="E400" s="30" t="s">
        <v>2996</v>
      </c>
      <c r="F400" s="86" t="s">
        <v>1012</v>
      </c>
      <c r="G400" s="33"/>
      <c r="H400" s="33"/>
      <c r="I400" s="33"/>
      <c r="J400" s="33"/>
      <c r="K400" s="33"/>
      <c r="L400" s="33"/>
      <c r="M400" s="54">
        <f t="shared" si="134"/>
        <v>100</v>
      </c>
      <c r="N400" s="54"/>
      <c r="O400" s="54">
        <v>100</v>
      </c>
      <c r="P400" s="54"/>
      <c r="Q400" s="68">
        <f t="shared" si="135"/>
        <v>0</v>
      </c>
      <c r="R400" s="68"/>
      <c r="S400" s="68"/>
      <c r="T400" s="68"/>
      <c r="U400" s="129"/>
      <c r="V400" s="54">
        <f t="shared" si="136"/>
        <v>100</v>
      </c>
      <c r="W400" s="92" t="s">
        <v>2674</v>
      </c>
    </row>
    <row r="401" s="4" customFormat="1" ht="26.25" customHeight="1" spans="1:23">
      <c r="A401" s="117">
        <v>301001</v>
      </c>
      <c r="B401" s="29" t="s">
        <v>2981</v>
      </c>
      <c r="C401" s="118" t="s">
        <v>1785</v>
      </c>
      <c r="D401" s="82" t="s">
        <v>1786</v>
      </c>
      <c r="E401" s="127" t="s">
        <v>3015</v>
      </c>
      <c r="F401" s="35" t="s">
        <v>3016</v>
      </c>
      <c r="G401" s="33">
        <f>SUM(H401:J401)</f>
        <v>0</v>
      </c>
      <c r="H401" s="33"/>
      <c r="I401" s="33"/>
      <c r="J401" s="33"/>
      <c r="K401" s="33"/>
      <c r="L401" s="33"/>
      <c r="M401" s="54">
        <f t="shared" si="134"/>
        <v>17</v>
      </c>
      <c r="N401" s="54"/>
      <c r="O401" s="54">
        <v>17</v>
      </c>
      <c r="P401" s="54"/>
      <c r="Q401" s="68">
        <f t="shared" si="135"/>
        <v>0</v>
      </c>
      <c r="R401" s="68"/>
      <c r="S401" s="68"/>
      <c r="T401" s="68"/>
      <c r="U401" s="129"/>
      <c r="V401" s="54">
        <f t="shared" si="136"/>
        <v>17</v>
      </c>
      <c r="W401" s="92" t="s">
        <v>481</v>
      </c>
    </row>
    <row r="402" s="4" customFormat="1" ht="26.25" customHeight="1" spans="1:23">
      <c r="A402" s="117">
        <v>301001</v>
      </c>
      <c r="B402" s="29" t="s">
        <v>2981</v>
      </c>
      <c r="C402" s="118" t="s">
        <v>1785</v>
      </c>
      <c r="D402" s="82" t="s">
        <v>1786</v>
      </c>
      <c r="E402" s="127" t="s">
        <v>3015</v>
      </c>
      <c r="F402" s="35" t="s">
        <v>3016</v>
      </c>
      <c r="G402" s="33">
        <f>SUM(H402:J402)</f>
        <v>0</v>
      </c>
      <c r="H402" s="33"/>
      <c r="I402" s="33"/>
      <c r="J402" s="33"/>
      <c r="K402" s="33"/>
      <c r="L402" s="33"/>
      <c r="M402" s="54">
        <f t="shared" si="134"/>
        <v>0</v>
      </c>
      <c r="N402" s="54"/>
      <c r="O402" s="54">
        <v>82</v>
      </c>
      <c r="P402" s="54">
        <v>82</v>
      </c>
      <c r="Q402" s="68">
        <f t="shared" si="135"/>
        <v>0</v>
      </c>
      <c r="R402" s="68"/>
      <c r="S402" s="68"/>
      <c r="T402" s="68"/>
      <c r="U402" s="129"/>
      <c r="V402" s="54">
        <f t="shared" si="136"/>
        <v>0</v>
      </c>
      <c r="W402" s="92" t="s">
        <v>643</v>
      </c>
    </row>
    <row r="403" s="4" customFormat="1" ht="26.25" customHeight="1" spans="1:23">
      <c r="A403" s="117">
        <v>301001</v>
      </c>
      <c r="B403" s="29" t="s">
        <v>2981</v>
      </c>
      <c r="C403" s="118" t="s">
        <v>1785</v>
      </c>
      <c r="D403" s="82" t="s">
        <v>1786</v>
      </c>
      <c r="E403" s="127" t="s">
        <v>3017</v>
      </c>
      <c r="F403" s="35" t="s">
        <v>3018</v>
      </c>
      <c r="G403" s="33">
        <f>SUM(H403:J403)</f>
        <v>0</v>
      </c>
      <c r="H403" s="33"/>
      <c r="I403" s="33"/>
      <c r="J403" s="33"/>
      <c r="K403" s="33"/>
      <c r="L403" s="33"/>
      <c r="M403" s="54">
        <f t="shared" si="134"/>
        <v>64</v>
      </c>
      <c r="N403" s="54"/>
      <c r="O403" s="54">
        <v>64</v>
      </c>
      <c r="P403" s="54"/>
      <c r="Q403" s="68">
        <f t="shared" si="135"/>
        <v>0</v>
      </c>
      <c r="R403" s="68"/>
      <c r="S403" s="68"/>
      <c r="T403" s="68"/>
      <c r="U403" s="129"/>
      <c r="V403" s="54">
        <f t="shared" si="136"/>
        <v>64</v>
      </c>
      <c r="W403" s="92" t="s">
        <v>481</v>
      </c>
    </row>
    <row r="404" s="4" customFormat="1" ht="26.25" customHeight="1" spans="1:23">
      <c r="A404" s="117">
        <v>301001</v>
      </c>
      <c r="B404" s="29" t="s">
        <v>2981</v>
      </c>
      <c r="C404" s="118" t="s">
        <v>2982</v>
      </c>
      <c r="D404" s="29" t="s">
        <v>2083</v>
      </c>
      <c r="E404" s="127"/>
      <c r="F404" s="35" t="s">
        <v>3021</v>
      </c>
      <c r="G404" s="33">
        <f>SUM(H404:J404)</f>
        <v>0</v>
      </c>
      <c r="H404" s="33"/>
      <c r="I404" s="33"/>
      <c r="J404" s="33"/>
      <c r="K404" s="33"/>
      <c r="L404" s="33"/>
      <c r="M404" s="54">
        <f t="shared" si="134"/>
        <v>0</v>
      </c>
      <c r="N404" s="54"/>
      <c r="O404" s="54"/>
      <c r="P404" s="54"/>
      <c r="Q404" s="68">
        <f t="shared" si="135"/>
        <v>0</v>
      </c>
      <c r="R404" s="68"/>
      <c r="S404" s="68"/>
      <c r="T404" s="68"/>
      <c r="U404" s="129"/>
      <c r="V404" s="54">
        <f t="shared" si="136"/>
        <v>0</v>
      </c>
      <c r="W404" s="92"/>
    </row>
    <row r="405" s="4" customFormat="1" ht="26.25" customHeight="1" spans="1:23">
      <c r="A405" s="115">
        <v>301002</v>
      </c>
      <c r="B405" s="23" t="s">
        <v>1332</v>
      </c>
      <c r="C405" s="116"/>
      <c r="D405" s="116"/>
      <c r="E405" s="84"/>
      <c r="F405" s="26"/>
      <c r="G405" s="27">
        <f t="shared" ref="G405:V405" si="137">SUM(G406:G413)</f>
        <v>160.18</v>
      </c>
      <c r="H405" s="27">
        <f t="shared" si="137"/>
        <v>50.91</v>
      </c>
      <c r="I405" s="27">
        <f t="shared" si="137"/>
        <v>1.6</v>
      </c>
      <c r="J405" s="27">
        <f t="shared" si="137"/>
        <v>107.67</v>
      </c>
      <c r="K405" s="27">
        <f t="shared" si="137"/>
        <v>0</v>
      </c>
      <c r="L405" s="27">
        <f t="shared" si="137"/>
        <v>0</v>
      </c>
      <c r="M405" s="27">
        <f t="shared" si="137"/>
        <v>66.314</v>
      </c>
      <c r="N405" s="27">
        <f t="shared" si="137"/>
        <v>-107.67</v>
      </c>
      <c r="O405" s="27">
        <f t="shared" si="137"/>
        <v>173.984</v>
      </c>
      <c r="P405" s="27">
        <f t="shared" si="137"/>
        <v>0</v>
      </c>
      <c r="Q405" s="27">
        <f t="shared" si="137"/>
        <v>0</v>
      </c>
      <c r="R405" s="27">
        <f t="shared" si="137"/>
        <v>0</v>
      </c>
      <c r="S405" s="27">
        <f t="shared" si="137"/>
        <v>0</v>
      </c>
      <c r="T405" s="27">
        <f t="shared" si="137"/>
        <v>0</v>
      </c>
      <c r="U405" s="27">
        <f t="shared" si="137"/>
        <v>0</v>
      </c>
      <c r="V405" s="27">
        <f t="shared" si="137"/>
        <v>226.494</v>
      </c>
      <c r="W405" s="67"/>
    </row>
    <row r="406" s="4" customFormat="1" ht="26.25" customHeight="1" spans="1:23">
      <c r="A406" s="117">
        <v>301002</v>
      </c>
      <c r="B406" s="29" t="s">
        <v>1784</v>
      </c>
      <c r="C406" s="118" t="s">
        <v>1785</v>
      </c>
      <c r="D406" s="135" t="s">
        <v>1786</v>
      </c>
      <c r="E406" s="37" t="s">
        <v>3022</v>
      </c>
      <c r="F406" s="48" t="s">
        <v>1023</v>
      </c>
      <c r="G406" s="33">
        <f t="shared" ref="G406:G413" si="138">SUM(H406:J406)</f>
        <v>11.95</v>
      </c>
      <c r="H406" s="33">
        <v>11.95</v>
      </c>
      <c r="I406" s="33"/>
      <c r="J406" s="33"/>
      <c r="K406" s="33"/>
      <c r="L406" s="33"/>
      <c r="M406" s="54">
        <f t="shared" ref="M406:M413" si="139">N406+O406-P406</f>
        <v>0</v>
      </c>
      <c r="N406" s="54"/>
      <c r="O406" s="54"/>
      <c r="P406" s="54"/>
      <c r="Q406" s="68">
        <f t="shared" ref="Q406:Q413" si="140">R406+S406-T406</f>
        <v>0</v>
      </c>
      <c r="R406" s="68"/>
      <c r="S406" s="68"/>
      <c r="T406" s="68"/>
      <c r="U406" s="129"/>
      <c r="V406" s="33">
        <f t="shared" ref="V406:V413" si="141">G406+K406+L406+M406+Q406-U406</f>
        <v>11.95</v>
      </c>
      <c r="W406" s="130" t="s">
        <v>2283</v>
      </c>
    </row>
    <row r="407" s="4" customFormat="1" ht="26.25" customHeight="1" spans="1:23">
      <c r="A407" s="117">
        <v>301002</v>
      </c>
      <c r="B407" s="29" t="s">
        <v>1784</v>
      </c>
      <c r="C407" s="118" t="s">
        <v>1785</v>
      </c>
      <c r="D407" s="29" t="s">
        <v>1786</v>
      </c>
      <c r="E407" s="30" t="s">
        <v>3023</v>
      </c>
      <c r="F407" s="32" t="s">
        <v>3024</v>
      </c>
      <c r="G407" s="33">
        <f t="shared" si="138"/>
        <v>1.6</v>
      </c>
      <c r="H407" s="33"/>
      <c r="I407" s="33">
        <v>1.6</v>
      </c>
      <c r="J407" s="33"/>
      <c r="K407" s="33"/>
      <c r="L407" s="33"/>
      <c r="M407" s="54">
        <f t="shared" si="139"/>
        <v>0</v>
      </c>
      <c r="N407" s="54"/>
      <c r="O407" s="54"/>
      <c r="P407" s="54"/>
      <c r="Q407" s="68">
        <f t="shared" si="140"/>
        <v>0</v>
      </c>
      <c r="R407" s="68"/>
      <c r="S407" s="68"/>
      <c r="T407" s="68"/>
      <c r="U407" s="129">
        <v>0</v>
      </c>
      <c r="V407" s="33">
        <f t="shared" si="141"/>
        <v>1.6</v>
      </c>
      <c r="W407" s="130" t="s">
        <v>2283</v>
      </c>
    </row>
    <row r="408" s="4" customFormat="1" ht="26.25" customHeight="1" spans="1:23">
      <c r="A408" s="117">
        <v>301002</v>
      </c>
      <c r="B408" s="29" t="s">
        <v>1784</v>
      </c>
      <c r="C408" s="118" t="s">
        <v>1785</v>
      </c>
      <c r="D408" s="120" t="s">
        <v>1786</v>
      </c>
      <c r="E408" s="37" t="s">
        <v>3025</v>
      </c>
      <c r="F408" s="32" t="s">
        <v>1030</v>
      </c>
      <c r="G408" s="33">
        <f t="shared" si="138"/>
        <v>12.1</v>
      </c>
      <c r="H408" s="33">
        <v>12.1</v>
      </c>
      <c r="I408" s="33"/>
      <c r="J408" s="33"/>
      <c r="K408" s="33"/>
      <c r="L408" s="33"/>
      <c r="M408" s="54">
        <f t="shared" si="139"/>
        <v>0</v>
      </c>
      <c r="N408" s="54"/>
      <c r="O408" s="54"/>
      <c r="P408" s="54"/>
      <c r="Q408" s="68">
        <f t="shared" si="140"/>
        <v>0</v>
      </c>
      <c r="R408" s="68"/>
      <c r="S408" s="68"/>
      <c r="T408" s="68"/>
      <c r="U408" s="129"/>
      <c r="V408" s="70">
        <f t="shared" si="141"/>
        <v>12.1</v>
      </c>
      <c r="W408" s="130" t="s">
        <v>2283</v>
      </c>
    </row>
    <row r="409" s="4" customFormat="1" ht="26.25" customHeight="1" spans="1:23">
      <c r="A409" s="117">
        <v>301002</v>
      </c>
      <c r="B409" s="29" t="s">
        <v>1784</v>
      </c>
      <c r="C409" s="118" t="s">
        <v>1785</v>
      </c>
      <c r="D409" s="82" t="s">
        <v>1786</v>
      </c>
      <c r="E409" s="37" t="s">
        <v>3026</v>
      </c>
      <c r="F409" s="48" t="s">
        <v>3027</v>
      </c>
      <c r="G409" s="33">
        <f t="shared" si="138"/>
        <v>20</v>
      </c>
      <c r="H409" s="33"/>
      <c r="I409" s="33"/>
      <c r="J409" s="33">
        <v>20</v>
      </c>
      <c r="K409" s="33"/>
      <c r="L409" s="33"/>
      <c r="M409" s="54">
        <f t="shared" si="139"/>
        <v>0</v>
      </c>
      <c r="N409" s="54">
        <v>-20</v>
      </c>
      <c r="O409" s="54">
        <v>20</v>
      </c>
      <c r="P409" s="54"/>
      <c r="Q409" s="68">
        <f t="shared" si="140"/>
        <v>0</v>
      </c>
      <c r="R409" s="68"/>
      <c r="S409" s="68"/>
      <c r="T409" s="68"/>
      <c r="U409" s="129"/>
      <c r="V409" s="54">
        <f t="shared" si="141"/>
        <v>20</v>
      </c>
      <c r="W409" s="92" t="s">
        <v>481</v>
      </c>
    </row>
    <row r="410" s="4" customFormat="1" ht="26.25" customHeight="1" spans="1:23">
      <c r="A410" s="117">
        <v>301002</v>
      </c>
      <c r="B410" s="29" t="s">
        <v>1784</v>
      </c>
      <c r="C410" s="118" t="s">
        <v>1785</v>
      </c>
      <c r="D410" s="82" t="s">
        <v>1786</v>
      </c>
      <c r="E410" s="37" t="s">
        <v>3026</v>
      </c>
      <c r="F410" s="32" t="s">
        <v>3027</v>
      </c>
      <c r="G410" s="33">
        <f t="shared" si="138"/>
        <v>0</v>
      </c>
      <c r="H410" s="33"/>
      <c r="I410" s="33"/>
      <c r="J410" s="33"/>
      <c r="K410" s="33"/>
      <c r="L410" s="33"/>
      <c r="M410" s="54">
        <f t="shared" si="139"/>
        <v>21.55</v>
      </c>
      <c r="N410" s="54"/>
      <c r="O410" s="54">
        <v>21.55</v>
      </c>
      <c r="P410" s="54"/>
      <c r="Q410" s="68">
        <f t="shared" si="140"/>
        <v>0</v>
      </c>
      <c r="R410" s="68"/>
      <c r="S410" s="68"/>
      <c r="T410" s="68"/>
      <c r="U410" s="129"/>
      <c r="V410" s="54">
        <f t="shared" si="141"/>
        <v>21.55</v>
      </c>
      <c r="W410" s="92" t="s">
        <v>643</v>
      </c>
    </row>
    <row r="411" s="4" customFormat="1" ht="26.25" customHeight="1" spans="1:23">
      <c r="A411" s="117">
        <v>301002</v>
      </c>
      <c r="B411" s="29" t="s">
        <v>1784</v>
      </c>
      <c r="C411" s="118" t="s">
        <v>1785</v>
      </c>
      <c r="D411" s="82" t="s">
        <v>1786</v>
      </c>
      <c r="E411" s="37" t="s">
        <v>3028</v>
      </c>
      <c r="F411" s="48" t="s">
        <v>3029</v>
      </c>
      <c r="G411" s="33">
        <f t="shared" si="138"/>
        <v>87.67</v>
      </c>
      <c r="H411" s="33"/>
      <c r="I411" s="33"/>
      <c r="J411" s="33">
        <v>87.67</v>
      </c>
      <c r="K411" s="33"/>
      <c r="L411" s="33"/>
      <c r="M411" s="54">
        <f t="shared" si="139"/>
        <v>0</v>
      </c>
      <c r="N411" s="54">
        <v>-87.67</v>
      </c>
      <c r="O411" s="54">
        <v>87.67</v>
      </c>
      <c r="P411" s="54"/>
      <c r="Q411" s="68">
        <f t="shared" si="140"/>
        <v>0</v>
      </c>
      <c r="R411" s="68"/>
      <c r="S411" s="68"/>
      <c r="T411" s="68"/>
      <c r="U411" s="129"/>
      <c r="V411" s="54">
        <f t="shared" si="141"/>
        <v>87.67</v>
      </c>
      <c r="W411" s="92" t="s">
        <v>481</v>
      </c>
    </row>
    <row r="412" s="4" customFormat="1" ht="26.25" customHeight="1" spans="1:23">
      <c r="A412" s="117">
        <v>301002</v>
      </c>
      <c r="B412" s="29" t="s">
        <v>1784</v>
      </c>
      <c r="C412" s="118" t="s">
        <v>1785</v>
      </c>
      <c r="D412" s="82" t="s">
        <v>1786</v>
      </c>
      <c r="E412" s="37" t="s">
        <v>3028</v>
      </c>
      <c r="F412" s="32" t="s">
        <v>3029</v>
      </c>
      <c r="G412" s="33">
        <f t="shared" si="138"/>
        <v>0</v>
      </c>
      <c r="H412" s="33"/>
      <c r="I412" s="33"/>
      <c r="J412" s="33"/>
      <c r="K412" s="33"/>
      <c r="L412" s="33"/>
      <c r="M412" s="54">
        <f t="shared" si="139"/>
        <v>44.764</v>
      </c>
      <c r="N412" s="54"/>
      <c r="O412" s="54">
        <v>44.764</v>
      </c>
      <c r="P412" s="54"/>
      <c r="Q412" s="68">
        <f t="shared" si="140"/>
        <v>0</v>
      </c>
      <c r="R412" s="68"/>
      <c r="S412" s="68"/>
      <c r="T412" s="68"/>
      <c r="U412" s="129"/>
      <c r="V412" s="54">
        <f t="shared" si="141"/>
        <v>44.764</v>
      </c>
      <c r="W412" s="92" t="s">
        <v>643</v>
      </c>
    </row>
    <row r="413" s="4" customFormat="1" ht="26.25" customHeight="1" spans="1:23">
      <c r="A413" s="117">
        <v>301002</v>
      </c>
      <c r="B413" s="29" t="s">
        <v>1784</v>
      </c>
      <c r="C413" s="118" t="s">
        <v>1785</v>
      </c>
      <c r="D413" s="135" t="s">
        <v>1786</v>
      </c>
      <c r="E413" s="37" t="s">
        <v>3030</v>
      </c>
      <c r="F413" s="48" t="s">
        <v>1016</v>
      </c>
      <c r="G413" s="33">
        <f t="shared" si="138"/>
        <v>26.86</v>
      </c>
      <c r="H413" s="33">
        <v>26.86</v>
      </c>
      <c r="I413" s="33"/>
      <c r="J413" s="33"/>
      <c r="K413" s="33"/>
      <c r="L413" s="33">
        <v>0</v>
      </c>
      <c r="M413" s="54">
        <f t="shared" si="139"/>
        <v>0</v>
      </c>
      <c r="N413" s="54"/>
      <c r="O413" s="54"/>
      <c r="P413" s="54"/>
      <c r="Q413" s="68">
        <f t="shared" si="140"/>
        <v>0</v>
      </c>
      <c r="R413" s="68"/>
      <c r="S413" s="68"/>
      <c r="T413" s="68"/>
      <c r="U413" s="129"/>
      <c r="V413" s="33">
        <f t="shared" si="141"/>
        <v>26.86</v>
      </c>
      <c r="W413" s="130" t="s">
        <v>2283</v>
      </c>
    </row>
    <row r="414" s="4" customFormat="1" ht="26.25" customHeight="1" spans="1:23">
      <c r="A414" s="115">
        <v>301003</v>
      </c>
      <c r="B414" s="23" t="s">
        <v>1334</v>
      </c>
      <c r="C414" s="116"/>
      <c r="D414" s="116"/>
      <c r="E414" s="84"/>
      <c r="F414" s="26"/>
      <c r="G414" s="27">
        <f t="shared" ref="G414:V414" si="142">SUM(G415:G424)</f>
        <v>168.6</v>
      </c>
      <c r="H414" s="27">
        <f t="shared" si="142"/>
        <v>61.2</v>
      </c>
      <c r="I414" s="27">
        <f t="shared" si="142"/>
        <v>2.4</v>
      </c>
      <c r="J414" s="27">
        <f t="shared" si="142"/>
        <v>105</v>
      </c>
      <c r="K414" s="27">
        <f t="shared" si="142"/>
        <v>0</v>
      </c>
      <c r="L414" s="27">
        <f t="shared" si="142"/>
        <v>0</v>
      </c>
      <c r="M414" s="27">
        <f t="shared" si="142"/>
        <v>199.38</v>
      </c>
      <c r="N414" s="27">
        <f t="shared" si="142"/>
        <v>-105</v>
      </c>
      <c r="O414" s="27">
        <f t="shared" si="142"/>
        <v>1090.38</v>
      </c>
      <c r="P414" s="27">
        <f t="shared" si="142"/>
        <v>786</v>
      </c>
      <c r="Q414" s="27">
        <f t="shared" si="142"/>
        <v>354.57</v>
      </c>
      <c r="R414" s="27">
        <f t="shared" si="142"/>
        <v>0</v>
      </c>
      <c r="S414" s="27">
        <f t="shared" si="142"/>
        <v>561</v>
      </c>
      <c r="T414" s="27">
        <f t="shared" si="142"/>
        <v>206.43</v>
      </c>
      <c r="U414" s="27">
        <f t="shared" si="142"/>
        <v>3.22</v>
      </c>
      <c r="V414" s="27">
        <f t="shared" si="142"/>
        <v>719.33</v>
      </c>
      <c r="W414" s="67"/>
    </row>
    <row r="415" s="4" customFormat="1" ht="26.25" customHeight="1" spans="1:23">
      <c r="A415" s="117">
        <v>301003</v>
      </c>
      <c r="B415" s="29" t="s">
        <v>1796</v>
      </c>
      <c r="C415" s="118" t="s">
        <v>1785</v>
      </c>
      <c r="D415" s="86" t="s">
        <v>1786</v>
      </c>
      <c r="E415" s="121" t="s">
        <v>3031</v>
      </c>
      <c r="F415" s="38" t="s">
        <v>1012</v>
      </c>
      <c r="G415" s="33">
        <f t="shared" ref="G415:G424" si="143">SUM(H415:J415)</f>
        <v>0</v>
      </c>
      <c r="H415" s="33"/>
      <c r="I415" s="33"/>
      <c r="J415" s="33"/>
      <c r="K415" s="33"/>
      <c r="L415" s="33"/>
      <c r="M415" s="54">
        <f t="shared" ref="M415:M424" si="144">N415+O415-P415</f>
        <v>0</v>
      </c>
      <c r="N415" s="54"/>
      <c r="O415" s="54"/>
      <c r="P415" s="54"/>
      <c r="Q415" s="68">
        <f t="shared" ref="Q415:Q424" si="145">R415+S415-T415</f>
        <v>354.57</v>
      </c>
      <c r="R415" s="68"/>
      <c r="S415" s="68">
        <v>561</v>
      </c>
      <c r="T415" s="68">
        <v>206.43</v>
      </c>
      <c r="U415" s="129"/>
      <c r="V415" s="68">
        <f t="shared" ref="V415:V424" si="146">G415+K415+L415+M415+Q415-U415</f>
        <v>354.57</v>
      </c>
      <c r="W415" s="91" t="s">
        <v>3032</v>
      </c>
    </row>
    <row r="416" s="4" customFormat="1" ht="26.25" customHeight="1" spans="1:23">
      <c r="A416" s="117">
        <v>301003</v>
      </c>
      <c r="B416" s="29" t="s">
        <v>1796</v>
      </c>
      <c r="C416" s="118" t="s">
        <v>1785</v>
      </c>
      <c r="D416" s="82" t="s">
        <v>1786</v>
      </c>
      <c r="E416" s="121" t="s">
        <v>3031</v>
      </c>
      <c r="F416" s="35" t="s">
        <v>1012</v>
      </c>
      <c r="G416" s="33">
        <f t="shared" si="143"/>
        <v>0</v>
      </c>
      <c r="H416" s="33"/>
      <c r="I416" s="33"/>
      <c r="J416" s="33"/>
      <c r="K416" s="33"/>
      <c r="L416" s="33"/>
      <c r="M416" s="54">
        <f t="shared" si="144"/>
        <v>153</v>
      </c>
      <c r="N416" s="54"/>
      <c r="O416" s="54">
        <v>939</v>
      </c>
      <c r="P416" s="73">
        <v>786</v>
      </c>
      <c r="Q416" s="68">
        <f t="shared" si="145"/>
        <v>0</v>
      </c>
      <c r="R416" s="68"/>
      <c r="S416" s="68"/>
      <c r="T416" s="68"/>
      <c r="U416" s="129"/>
      <c r="V416" s="54">
        <f t="shared" si="146"/>
        <v>153</v>
      </c>
      <c r="W416" s="92" t="s">
        <v>533</v>
      </c>
    </row>
    <row r="417" s="4" customFormat="1" ht="26.25" customHeight="1" spans="1:23">
      <c r="A417" s="117">
        <v>301003</v>
      </c>
      <c r="B417" s="29" t="s">
        <v>1796</v>
      </c>
      <c r="C417" s="118" t="s">
        <v>1785</v>
      </c>
      <c r="D417" s="135" t="s">
        <v>1786</v>
      </c>
      <c r="E417" s="37" t="s">
        <v>3033</v>
      </c>
      <c r="F417" s="48" t="s">
        <v>1023</v>
      </c>
      <c r="G417" s="33">
        <f t="shared" si="143"/>
        <v>11.56</v>
      </c>
      <c r="H417" s="33">
        <v>11.56</v>
      </c>
      <c r="I417" s="33"/>
      <c r="J417" s="33"/>
      <c r="K417" s="33"/>
      <c r="L417" s="33"/>
      <c r="M417" s="54">
        <f t="shared" si="144"/>
        <v>0</v>
      </c>
      <c r="N417" s="54"/>
      <c r="O417" s="54"/>
      <c r="P417" s="54"/>
      <c r="Q417" s="68">
        <f t="shared" si="145"/>
        <v>0</v>
      </c>
      <c r="R417" s="68"/>
      <c r="S417" s="68"/>
      <c r="T417" s="68"/>
      <c r="U417" s="129"/>
      <c r="V417" s="33">
        <f t="shared" si="146"/>
        <v>11.56</v>
      </c>
      <c r="W417" s="130" t="s">
        <v>2283</v>
      </c>
    </row>
    <row r="418" s="4" customFormat="1" ht="26.25" customHeight="1" spans="1:23">
      <c r="A418" s="117">
        <v>301003</v>
      </c>
      <c r="B418" s="29" t="s">
        <v>1796</v>
      </c>
      <c r="C418" s="118" t="s">
        <v>1785</v>
      </c>
      <c r="D418" s="135" t="s">
        <v>1786</v>
      </c>
      <c r="E418" s="37" t="s">
        <v>3034</v>
      </c>
      <c r="F418" s="48" t="s">
        <v>1016</v>
      </c>
      <c r="G418" s="33">
        <f t="shared" si="143"/>
        <v>25.44</v>
      </c>
      <c r="H418" s="33">
        <v>25.44</v>
      </c>
      <c r="I418" s="33"/>
      <c r="J418" s="33"/>
      <c r="K418" s="33"/>
      <c r="L418" s="33"/>
      <c r="M418" s="54">
        <f t="shared" si="144"/>
        <v>0</v>
      </c>
      <c r="N418" s="54"/>
      <c r="O418" s="54"/>
      <c r="P418" s="54"/>
      <c r="Q418" s="68">
        <f t="shared" si="145"/>
        <v>0</v>
      </c>
      <c r="R418" s="68"/>
      <c r="S418" s="68"/>
      <c r="T418" s="68"/>
      <c r="U418" s="129">
        <v>3.22</v>
      </c>
      <c r="V418" s="33">
        <f t="shared" si="146"/>
        <v>22.22</v>
      </c>
      <c r="W418" s="130" t="s">
        <v>2283</v>
      </c>
    </row>
    <row r="419" s="4" customFormat="1" ht="26.25" customHeight="1" spans="1:23">
      <c r="A419" s="117">
        <v>301003</v>
      </c>
      <c r="B419" s="29" t="s">
        <v>1796</v>
      </c>
      <c r="C419" s="118" t="s">
        <v>1785</v>
      </c>
      <c r="D419" s="82" t="s">
        <v>1786</v>
      </c>
      <c r="E419" s="37" t="s">
        <v>3035</v>
      </c>
      <c r="F419" s="48" t="s">
        <v>3029</v>
      </c>
      <c r="G419" s="33">
        <f t="shared" si="143"/>
        <v>85</v>
      </c>
      <c r="H419" s="33"/>
      <c r="I419" s="33"/>
      <c r="J419" s="33">
        <v>85</v>
      </c>
      <c r="K419" s="33"/>
      <c r="L419" s="33"/>
      <c r="M419" s="54">
        <f t="shared" si="144"/>
        <v>0</v>
      </c>
      <c r="N419" s="54">
        <v>-85</v>
      </c>
      <c r="O419" s="54">
        <v>85</v>
      </c>
      <c r="P419" s="54"/>
      <c r="Q419" s="68">
        <f t="shared" si="145"/>
        <v>0</v>
      </c>
      <c r="R419" s="68"/>
      <c r="S419" s="68"/>
      <c r="T419" s="68"/>
      <c r="U419" s="129"/>
      <c r="V419" s="54">
        <f t="shared" si="146"/>
        <v>85</v>
      </c>
      <c r="W419" s="92" t="s">
        <v>481</v>
      </c>
    </row>
    <row r="420" s="4" customFormat="1" ht="26.25" customHeight="1" spans="1:23">
      <c r="A420" s="117">
        <v>301003</v>
      </c>
      <c r="B420" s="29" t="s">
        <v>1796</v>
      </c>
      <c r="C420" s="118" t="s">
        <v>1785</v>
      </c>
      <c r="D420" s="82" t="s">
        <v>1786</v>
      </c>
      <c r="E420" s="37" t="s">
        <v>3035</v>
      </c>
      <c r="F420" s="32" t="s">
        <v>3029</v>
      </c>
      <c r="G420" s="33">
        <f t="shared" si="143"/>
        <v>0</v>
      </c>
      <c r="H420" s="33"/>
      <c r="I420" s="33"/>
      <c r="J420" s="33"/>
      <c r="K420" s="33"/>
      <c r="L420" s="33"/>
      <c r="M420" s="54">
        <f t="shared" si="144"/>
        <v>26.58</v>
      </c>
      <c r="N420" s="54"/>
      <c r="O420" s="54">
        <v>26.58</v>
      </c>
      <c r="P420" s="54"/>
      <c r="Q420" s="68">
        <f t="shared" si="145"/>
        <v>0</v>
      </c>
      <c r="R420" s="68"/>
      <c r="S420" s="68"/>
      <c r="T420" s="68"/>
      <c r="U420" s="129"/>
      <c r="V420" s="54">
        <f t="shared" si="146"/>
        <v>26.58</v>
      </c>
      <c r="W420" s="92" t="s">
        <v>643</v>
      </c>
    </row>
    <row r="421" s="4" customFormat="1" ht="26.25" customHeight="1" spans="1:23">
      <c r="A421" s="117">
        <v>301003</v>
      </c>
      <c r="B421" s="29" t="s">
        <v>1796</v>
      </c>
      <c r="C421" s="118" t="s">
        <v>1785</v>
      </c>
      <c r="D421" s="120" t="s">
        <v>1786</v>
      </c>
      <c r="E421" s="37" t="s">
        <v>3036</v>
      </c>
      <c r="F421" s="32" t="s">
        <v>1030</v>
      </c>
      <c r="G421" s="33">
        <f t="shared" si="143"/>
        <v>24.2</v>
      </c>
      <c r="H421" s="33">
        <v>24.2</v>
      </c>
      <c r="I421" s="33"/>
      <c r="J421" s="33"/>
      <c r="K421" s="33"/>
      <c r="L421" s="33"/>
      <c r="M421" s="54">
        <f t="shared" si="144"/>
        <v>0</v>
      </c>
      <c r="N421" s="54"/>
      <c r="O421" s="54"/>
      <c r="P421" s="54"/>
      <c r="Q421" s="68">
        <f t="shared" si="145"/>
        <v>0</v>
      </c>
      <c r="R421" s="68"/>
      <c r="S421" s="68"/>
      <c r="T421" s="68"/>
      <c r="U421" s="129"/>
      <c r="V421" s="70">
        <f t="shared" si="146"/>
        <v>24.2</v>
      </c>
      <c r="W421" s="130" t="s">
        <v>2283</v>
      </c>
    </row>
    <row r="422" s="4" customFormat="1" ht="26.25" customHeight="1" spans="1:23">
      <c r="A422" s="117">
        <v>301003</v>
      </c>
      <c r="B422" s="29" t="s">
        <v>1796</v>
      </c>
      <c r="C422" s="118" t="s">
        <v>1785</v>
      </c>
      <c r="D422" s="82" t="s">
        <v>1786</v>
      </c>
      <c r="E422" s="37" t="s">
        <v>3037</v>
      </c>
      <c r="F422" s="48" t="s">
        <v>3027</v>
      </c>
      <c r="G422" s="33">
        <f t="shared" si="143"/>
        <v>20</v>
      </c>
      <c r="H422" s="33"/>
      <c r="I422" s="33"/>
      <c r="J422" s="33">
        <v>20</v>
      </c>
      <c r="K422" s="33"/>
      <c r="L422" s="33"/>
      <c r="M422" s="54">
        <f t="shared" si="144"/>
        <v>0</v>
      </c>
      <c r="N422" s="54">
        <v>-20</v>
      </c>
      <c r="O422" s="54">
        <v>20</v>
      </c>
      <c r="P422" s="54"/>
      <c r="Q422" s="68">
        <f t="shared" si="145"/>
        <v>0</v>
      </c>
      <c r="R422" s="68"/>
      <c r="S422" s="68"/>
      <c r="T422" s="68"/>
      <c r="U422" s="129"/>
      <c r="V422" s="54">
        <f t="shared" si="146"/>
        <v>20</v>
      </c>
      <c r="W422" s="92" t="s">
        <v>481</v>
      </c>
    </row>
    <row r="423" s="4" customFormat="1" ht="26.25" customHeight="1" spans="1:23">
      <c r="A423" s="117">
        <v>301003</v>
      </c>
      <c r="B423" s="29" t="s">
        <v>1796</v>
      </c>
      <c r="C423" s="118" t="s">
        <v>1785</v>
      </c>
      <c r="D423" s="82" t="s">
        <v>1786</v>
      </c>
      <c r="E423" s="37" t="s">
        <v>3037</v>
      </c>
      <c r="F423" s="32" t="s">
        <v>3027</v>
      </c>
      <c r="G423" s="33">
        <f t="shared" si="143"/>
        <v>0</v>
      </c>
      <c r="H423" s="33"/>
      <c r="I423" s="33"/>
      <c r="J423" s="33"/>
      <c r="K423" s="33"/>
      <c r="L423" s="33"/>
      <c r="M423" s="54">
        <f t="shared" si="144"/>
        <v>19.8</v>
      </c>
      <c r="N423" s="54"/>
      <c r="O423" s="54">
        <v>19.8</v>
      </c>
      <c r="P423" s="54"/>
      <c r="Q423" s="68">
        <f t="shared" si="145"/>
        <v>0</v>
      </c>
      <c r="R423" s="68"/>
      <c r="S423" s="68"/>
      <c r="T423" s="68"/>
      <c r="U423" s="129"/>
      <c r="V423" s="54">
        <f t="shared" si="146"/>
        <v>19.8</v>
      </c>
      <c r="W423" s="92" t="s">
        <v>643</v>
      </c>
    </row>
    <row r="424" s="4" customFormat="1" ht="26.25" customHeight="1" spans="1:23">
      <c r="A424" s="117">
        <v>301003</v>
      </c>
      <c r="B424" s="29" t="s">
        <v>1796</v>
      </c>
      <c r="C424" s="118" t="s">
        <v>1785</v>
      </c>
      <c r="D424" s="29" t="s">
        <v>1786</v>
      </c>
      <c r="E424" s="30" t="s">
        <v>3038</v>
      </c>
      <c r="F424" s="32" t="s">
        <v>1019</v>
      </c>
      <c r="G424" s="33">
        <f t="shared" si="143"/>
        <v>2.4</v>
      </c>
      <c r="H424" s="33"/>
      <c r="I424" s="33">
        <v>2.4</v>
      </c>
      <c r="J424" s="33"/>
      <c r="K424" s="33"/>
      <c r="L424" s="33"/>
      <c r="M424" s="54">
        <f t="shared" si="144"/>
        <v>0</v>
      </c>
      <c r="N424" s="54"/>
      <c r="O424" s="54"/>
      <c r="P424" s="54"/>
      <c r="Q424" s="68">
        <f t="shared" si="145"/>
        <v>0</v>
      </c>
      <c r="R424" s="68"/>
      <c r="S424" s="68"/>
      <c r="T424" s="68"/>
      <c r="U424" s="129">
        <v>0</v>
      </c>
      <c r="V424" s="33">
        <f t="shared" si="146"/>
        <v>2.4</v>
      </c>
      <c r="W424" s="130" t="s">
        <v>2283</v>
      </c>
    </row>
    <row r="425" s="4" customFormat="1" ht="26.25" customHeight="1" spans="1:23">
      <c r="A425" s="115">
        <v>301004</v>
      </c>
      <c r="B425" s="23" t="s">
        <v>1336</v>
      </c>
      <c r="C425" s="116"/>
      <c r="D425" s="116"/>
      <c r="E425" s="84"/>
      <c r="F425" s="26"/>
      <c r="G425" s="27">
        <f t="shared" ref="G425:V425" si="147">SUM(G426:G432)</f>
        <v>154.13</v>
      </c>
      <c r="H425" s="27">
        <f t="shared" si="147"/>
        <v>40.78</v>
      </c>
      <c r="I425" s="27">
        <f t="shared" si="147"/>
        <v>0.75</v>
      </c>
      <c r="J425" s="27">
        <f t="shared" si="147"/>
        <v>112.6</v>
      </c>
      <c r="K425" s="27">
        <f t="shared" si="147"/>
        <v>0</v>
      </c>
      <c r="L425" s="27">
        <f t="shared" si="147"/>
        <v>0</v>
      </c>
      <c r="M425" s="27">
        <f t="shared" si="147"/>
        <v>32.002</v>
      </c>
      <c r="N425" s="27">
        <f t="shared" si="147"/>
        <v>-112.6</v>
      </c>
      <c r="O425" s="27">
        <f t="shared" si="147"/>
        <v>144.602</v>
      </c>
      <c r="P425" s="27">
        <f t="shared" si="147"/>
        <v>0</v>
      </c>
      <c r="Q425" s="27">
        <f t="shared" si="147"/>
        <v>0</v>
      </c>
      <c r="R425" s="27">
        <f t="shared" si="147"/>
        <v>0</v>
      </c>
      <c r="S425" s="27">
        <f t="shared" si="147"/>
        <v>0</v>
      </c>
      <c r="T425" s="27">
        <f t="shared" si="147"/>
        <v>0</v>
      </c>
      <c r="U425" s="27">
        <f t="shared" si="147"/>
        <v>11.05</v>
      </c>
      <c r="V425" s="27">
        <f t="shared" si="147"/>
        <v>175.082</v>
      </c>
      <c r="W425" s="67"/>
    </row>
    <row r="426" s="4" customFormat="1" ht="26.25" customHeight="1" spans="1:23">
      <c r="A426" s="117">
        <v>301004</v>
      </c>
      <c r="B426" s="29" t="s">
        <v>1806</v>
      </c>
      <c r="C426" s="118" t="s">
        <v>1785</v>
      </c>
      <c r="D426" s="29" t="s">
        <v>1786</v>
      </c>
      <c r="E426" s="30" t="s">
        <v>3039</v>
      </c>
      <c r="F426" s="32" t="s">
        <v>1019</v>
      </c>
      <c r="G426" s="33">
        <f t="shared" ref="G426:G432" si="148">SUM(H426:J426)</f>
        <v>0.75</v>
      </c>
      <c r="H426" s="33"/>
      <c r="I426" s="33">
        <v>0.75</v>
      </c>
      <c r="J426" s="33"/>
      <c r="K426" s="33"/>
      <c r="L426" s="33"/>
      <c r="M426" s="54">
        <f t="shared" ref="M426:M432" si="149">N426+O426-P426</f>
        <v>0</v>
      </c>
      <c r="N426" s="54"/>
      <c r="O426" s="54"/>
      <c r="P426" s="54"/>
      <c r="Q426" s="68">
        <f t="shared" ref="Q426:Q432" si="150">R426+S426-T426</f>
        <v>0</v>
      </c>
      <c r="R426" s="68"/>
      <c r="S426" s="68"/>
      <c r="T426" s="68"/>
      <c r="U426" s="129"/>
      <c r="V426" s="33">
        <f t="shared" ref="V426:V432" si="151">G426+K426+L426+M426+Q426-U426</f>
        <v>0.75</v>
      </c>
      <c r="W426" s="130" t="s">
        <v>2283</v>
      </c>
    </row>
    <row r="427" s="4" customFormat="1" ht="26.25" customHeight="1" spans="1:23">
      <c r="A427" s="117">
        <v>301004</v>
      </c>
      <c r="B427" s="29" t="s">
        <v>1806</v>
      </c>
      <c r="C427" s="118" t="s">
        <v>1785</v>
      </c>
      <c r="D427" s="135" t="s">
        <v>1786</v>
      </c>
      <c r="E427" s="37" t="s">
        <v>3040</v>
      </c>
      <c r="F427" s="48" t="s">
        <v>1016</v>
      </c>
      <c r="G427" s="33">
        <f t="shared" si="148"/>
        <v>27.48</v>
      </c>
      <c r="H427" s="33">
        <v>27.48</v>
      </c>
      <c r="I427" s="33"/>
      <c r="J427" s="33"/>
      <c r="K427" s="33"/>
      <c r="L427" s="33"/>
      <c r="M427" s="54">
        <f t="shared" si="149"/>
        <v>0</v>
      </c>
      <c r="N427" s="54"/>
      <c r="O427" s="54"/>
      <c r="P427" s="54"/>
      <c r="Q427" s="68">
        <f t="shared" si="150"/>
        <v>0</v>
      </c>
      <c r="R427" s="68"/>
      <c r="S427" s="68"/>
      <c r="T427" s="68"/>
      <c r="U427" s="129">
        <v>11.05</v>
      </c>
      <c r="V427" s="33">
        <f t="shared" si="151"/>
        <v>16.43</v>
      </c>
      <c r="W427" s="130" t="s">
        <v>2283</v>
      </c>
    </row>
    <row r="428" s="4" customFormat="1" ht="26.25" customHeight="1" spans="1:23">
      <c r="A428" s="117">
        <v>301004</v>
      </c>
      <c r="B428" s="29" t="s">
        <v>1806</v>
      </c>
      <c r="C428" s="118" t="s">
        <v>1785</v>
      </c>
      <c r="D428" s="82" t="s">
        <v>1786</v>
      </c>
      <c r="E428" s="37" t="s">
        <v>3041</v>
      </c>
      <c r="F428" s="48" t="s">
        <v>3029</v>
      </c>
      <c r="G428" s="33">
        <f t="shared" si="148"/>
        <v>91</v>
      </c>
      <c r="H428" s="33"/>
      <c r="I428" s="33"/>
      <c r="J428" s="33">
        <v>91</v>
      </c>
      <c r="K428" s="33"/>
      <c r="L428" s="33"/>
      <c r="M428" s="54">
        <f t="shared" si="149"/>
        <v>0</v>
      </c>
      <c r="N428" s="54">
        <v>-91</v>
      </c>
      <c r="O428" s="54">
        <v>91</v>
      </c>
      <c r="P428" s="54"/>
      <c r="Q428" s="68">
        <f t="shared" si="150"/>
        <v>0</v>
      </c>
      <c r="R428" s="68"/>
      <c r="S428" s="68"/>
      <c r="T428" s="68"/>
      <c r="U428" s="129"/>
      <c r="V428" s="54">
        <f t="shared" si="151"/>
        <v>91</v>
      </c>
      <c r="W428" s="92" t="s">
        <v>481</v>
      </c>
    </row>
    <row r="429" s="4" customFormat="1" ht="26.25" customHeight="1" spans="1:23">
      <c r="A429" s="117">
        <v>301004</v>
      </c>
      <c r="B429" s="29" t="s">
        <v>1806</v>
      </c>
      <c r="C429" s="118" t="s">
        <v>1785</v>
      </c>
      <c r="D429" s="82" t="s">
        <v>1786</v>
      </c>
      <c r="E429" s="37" t="s">
        <v>3041</v>
      </c>
      <c r="F429" s="32" t="s">
        <v>3029</v>
      </c>
      <c r="G429" s="33">
        <f t="shared" si="148"/>
        <v>0</v>
      </c>
      <c r="H429" s="33"/>
      <c r="I429" s="33"/>
      <c r="J429" s="33"/>
      <c r="K429" s="33"/>
      <c r="L429" s="33"/>
      <c r="M429" s="54">
        <f t="shared" si="149"/>
        <v>9.252</v>
      </c>
      <c r="N429" s="54"/>
      <c r="O429" s="54">
        <v>9.252</v>
      </c>
      <c r="P429" s="54"/>
      <c r="Q429" s="68">
        <f t="shared" si="150"/>
        <v>0</v>
      </c>
      <c r="R429" s="68"/>
      <c r="S429" s="68"/>
      <c r="T429" s="68"/>
      <c r="U429" s="129"/>
      <c r="V429" s="54">
        <f t="shared" si="151"/>
        <v>9.252</v>
      </c>
      <c r="W429" s="92" t="s">
        <v>643</v>
      </c>
    </row>
    <row r="430" s="4" customFormat="1" ht="26.25" customHeight="1" spans="1:23">
      <c r="A430" s="117">
        <v>301004</v>
      </c>
      <c r="B430" s="29" t="s">
        <v>1806</v>
      </c>
      <c r="C430" s="118" t="s">
        <v>1785</v>
      </c>
      <c r="D430" s="82" t="s">
        <v>1786</v>
      </c>
      <c r="E430" s="37" t="s">
        <v>3042</v>
      </c>
      <c r="F430" s="48" t="s">
        <v>3043</v>
      </c>
      <c r="G430" s="33">
        <f t="shared" si="148"/>
        <v>21.6</v>
      </c>
      <c r="H430" s="33"/>
      <c r="I430" s="33"/>
      <c r="J430" s="33">
        <v>21.6</v>
      </c>
      <c r="K430" s="33"/>
      <c r="L430" s="33"/>
      <c r="M430" s="54">
        <f t="shared" si="149"/>
        <v>0</v>
      </c>
      <c r="N430" s="54">
        <v>-21.6</v>
      </c>
      <c r="O430" s="54">
        <v>21.6</v>
      </c>
      <c r="P430" s="54"/>
      <c r="Q430" s="68">
        <f t="shared" si="150"/>
        <v>0</v>
      </c>
      <c r="R430" s="68"/>
      <c r="S430" s="68"/>
      <c r="T430" s="68"/>
      <c r="U430" s="129"/>
      <c r="V430" s="54">
        <f t="shared" si="151"/>
        <v>21.6</v>
      </c>
      <c r="W430" s="92" t="s">
        <v>481</v>
      </c>
    </row>
    <row r="431" s="4" customFormat="1" ht="26.25" customHeight="1" spans="1:23">
      <c r="A431" s="117">
        <v>301004</v>
      </c>
      <c r="B431" s="29" t="s">
        <v>1806</v>
      </c>
      <c r="C431" s="118" t="s">
        <v>1785</v>
      </c>
      <c r="D431" s="82" t="s">
        <v>1786</v>
      </c>
      <c r="E431" s="37" t="s">
        <v>3042</v>
      </c>
      <c r="F431" s="32" t="s">
        <v>3043</v>
      </c>
      <c r="G431" s="33">
        <f t="shared" si="148"/>
        <v>0</v>
      </c>
      <c r="H431" s="33"/>
      <c r="I431" s="33"/>
      <c r="J431" s="33"/>
      <c r="K431" s="33"/>
      <c r="L431" s="33"/>
      <c r="M431" s="54">
        <f t="shared" si="149"/>
        <v>22.75</v>
      </c>
      <c r="N431" s="54"/>
      <c r="O431" s="54">
        <v>22.75</v>
      </c>
      <c r="P431" s="54"/>
      <c r="Q431" s="68">
        <f t="shared" si="150"/>
        <v>0</v>
      </c>
      <c r="R431" s="68"/>
      <c r="S431" s="68"/>
      <c r="T431" s="68"/>
      <c r="U431" s="129"/>
      <c r="V431" s="54">
        <f t="shared" si="151"/>
        <v>22.75</v>
      </c>
      <c r="W431" s="92" t="s">
        <v>643</v>
      </c>
    </row>
    <row r="432" s="4" customFormat="1" ht="26.25" customHeight="1" spans="1:23">
      <c r="A432" s="117">
        <v>301004</v>
      </c>
      <c r="B432" s="29" t="s">
        <v>1806</v>
      </c>
      <c r="C432" s="118" t="s">
        <v>1785</v>
      </c>
      <c r="D432" s="135" t="s">
        <v>1786</v>
      </c>
      <c r="E432" s="37" t="s">
        <v>3044</v>
      </c>
      <c r="F432" s="48" t="s">
        <v>1023</v>
      </c>
      <c r="G432" s="33">
        <f t="shared" si="148"/>
        <v>13.3</v>
      </c>
      <c r="H432" s="33">
        <v>13.3</v>
      </c>
      <c r="I432" s="33"/>
      <c r="J432" s="33"/>
      <c r="K432" s="33"/>
      <c r="L432" s="33"/>
      <c r="M432" s="54">
        <f t="shared" si="149"/>
        <v>0</v>
      </c>
      <c r="N432" s="54"/>
      <c r="O432" s="54"/>
      <c r="P432" s="54"/>
      <c r="Q432" s="68">
        <f t="shared" si="150"/>
        <v>0</v>
      </c>
      <c r="R432" s="68"/>
      <c r="S432" s="68"/>
      <c r="T432" s="68"/>
      <c r="U432" s="129"/>
      <c r="V432" s="33">
        <f t="shared" si="151"/>
        <v>13.3</v>
      </c>
      <c r="W432" s="130" t="s">
        <v>2283</v>
      </c>
    </row>
    <row r="433" s="4" customFormat="1" ht="26.25" customHeight="1" spans="1:23">
      <c r="A433" s="115">
        <v>301005</v>
      </c>
      <c r="B433" s="23" t="s">
        <v>1338</v>
      </c>
      <c r="C433" s="116"/>
      <c r="D433" s="116"/>
      <c r="E433" s="84"/>
      <c r="F433" s="26"/>
      <c r="G433" s="27">
        <f t="shared" ref="G433:V433" si="152">SUM(G434:G440)</f>
        <v>37.95</v>
      </c>
      <c r="H433" s="27">
        <f t="shared" si="152"/>
        <v>9.55</v>
      </c>
      <c r="I433" s="27">
        <f t="shared" si="152"/>
        <v>1.2</v>
      </c>
      <c r="J433" s="27">
        <f t="shared" si="152"/>
        <v>27.2</v>
      </c>
      <c r="K433" s="27">
        <f t="shared" si="152"/>
        <v>0</v>
      </c>
      <c r="L433" s="27">
        <f t="shared" si="152"/>
        <v>0</v>
      </c>
      <c r="M433" s="27">
        <f t="shared" si="152"/>
        <v>6.052</v>
      </c>
      <c r="N433" s="27">
        <f t="shared" si="152"/>
        <v>-27.2</v>
      </c>
      <c r="O433" s="27">
        <f t="shared" si="152"/>
        <v>33.252</v>
      </c>
      <c r="P433" s="27">
        <f t="shared" si="152"/>
        <v>0</v>
      </c>
      <c r="Q433" s="27">
        <f t="shared" si="152"/>
        <v>0</v>
      </c>
      <c r="R433" s="27">
        <f t="shared" si="152"/>
        <v>0</v>
      </c>
      <c r="S433" s="27">
        <f t="shared" si="152"/>
        <v>0</v>
      </c>
      <c r="T433" s="27">
        <f t="shared" si="152"/>
        <v>0</v>
      </c>
      <c r="U433" s="27">
        <f t="shared" si="152"/>
        <v>5.01</v>
      </c>
      <c r="V433" s="27">
        <f t="shared" si="152"/>
        <v>38.992</v>
      </c>
      <c r="W433" s="67"/>
    </row>
    <row r="434" s="4" customFormat="1" ht="26.25" customHeight="1" spans="1:23">
      <c r="A434" s="117">
        <v>301005</v>
      </c>
      <c r="B434" s="29" t="s">
        <v>1816</v>
      </c>
      <c r="C434" s="118" t="s">
        <v>1785</v>
      </c>
      <c r="D434" s="29" t="s">
        <v>1786</v>
      </c>
      <c r="E434" s="30" t="s">
        <v>3045</v>
      </c>
      <c r="F434" s="32" t="s">
        <v>1019</v>
      </c>
      <c r="G434" s="33">
        <f t="shared" ref="G434:G440" si="153">SUM(H434:J434)</f>
        <v>1.2</v>
      </c>
      <c r="H434" s="33"/>
      <c r="I434" s="33">
        <v>1.2</v>
      </c>
      <c r="J434" s="33"/>
      <c r="K434" s="33"/>
      <c r="L434" s="33"/>
      <c r="M434" s="54">
        <f t="shared" ref="M434:M440" si="154">N434+O434-P434</f>
        <v>0</v>
      </c>
      <c r="N434" s="54"/>
      <c r="O434" s="54"/>
      <c r="P434" s="54"/>
      <c r="Q434" s="68">
        <f t="shared" ref="Q434:Q440" si="155">R434+S434-T434</f>
        <v>0</v>
      </c>
      <c r="R434" s="68"/>
      <c r="S434" s="68"/>
      <c r="T434" s="68"/>
      <c r="U434" s="129">
        <v>1.2</v>
      </c>
      <c r="V434" s="33">
        <f t="shared" ref="V434:V440" si="156">G434+K434+L434+M434+Q434-U434</f>
        <v>0</v>
      </c>
      <c r="W434" s="130" t="s">
        <v>2283</v>
      </c>
    </row>
    <row r="435" s="4" customFormat="1" ht="26.25" customHeight="1" spans="1:23">
      <c r="A435" s="117">
        <v>301005</v>
      </c>
      <c r="B435" s="29" t="s">
        <v>1816</v>
      </c>
      <c r="C435" s="118" t="s">
        <v>1785</v>
      </c>
      <c r="D435" s="135" t="s">
        <v>1786</v>
      </c>
      <c r="E435" s="37" t="s">
        <v>3046</v>
      </c>
      <c r="F435" s="48" t="s">
        <v>1023</v>
      </c>
      <c r="G435" s="33">
        <f t="shared" si="153"/>
        <v>2.99</v>
      </c>
      <c r="H435" s="33">
        <v>2.99</v>
      </c>
      <c r="I435" s="33"/>
      <c r="J435" s="33"/>
      <c r="K435" s="33"/>
      <c r="L435" s="33"/>
      <c r="M435" s="54">
        <f t="shared" si="154"/>
        <v>0</v>
      </c>
      <c r="N435" s="54"/>
      <c r="O435" s="54"/>
      <c r="P435" s="54"/>
      <c r="Q435" s="68">
        <f t="shared" si="155"/>
        <v>0</v>
      </c>
      <c r="R435" s="68"/>
      <c r="S435" s="68"/>
      <c r="T435" s="68"/>
      <c r="U435" s="129"/>
      <c r="V435" s="33">
        <f t="shared" si="156"/>
        <v>2.99</v>
      </c>
      <c r="W435" s="130" t="s">
        <v>2283</v>
      </c>
    </row>
    <row r="436" s="4" customFormat="1" ht="26.25" customHeight="1" spans="1:23">
      <c r="A436" s="117">
        <v>301005</v>
      </c>
      <c r="B436" s="29" t="s">
        <v>1816</v>
      </c>
      <c r="C436" s="118" t="s">
        <v>1785</v>
      </c>
      <c r="D436" s="82" t="s">
        <v>1786</v>
      </c>
      <c r="E436" s="37" t="s">
        <v>3047</v>
      </c>
      <c r="F436" s="48" t="s">
        <v>3029</v>
      </c>
      <c r="G436" s="33">
        <f t="shared" si="153"/>
        <v>22</v>
      </c>
      <c r="H436" s="33"/>
      <c r="I436" s="33"/>
      <c r="J436" s="33">
        <v>22</v>
      </c>
      <c r="K436" s="33"/>
      <c r="L436" s="33"/>
      <c r="M436" s="54">
        <f t="shared" si="154"/>
        <v>0</v>
      </c>
      <c r="N436" s="54">
        <v>-22</v>
      </c>
      <c r="O436" s="54">
        <v>22</v>
      </c>
      <c r="P436" s="54"/>
      <c r="Q436" s="68">
        <f t="shared" si="155"/>
        <v>0</v>
      </c>
      <c r="R436" s="68"/>
      <c r="S436" s="68"/>
      <c r="T436" s="68"/>
      <c r="U436" s="129"/>
      <c r="V436" s="54">
        <f t="shared" si="156"/>
        <v>22</v>
      </c>
      <c r="W436" s="92" t="s">
        <v>481</v>
      </c>
    </row>
    <row r="437" s="4" customFormat="1" ht="26.25" customHeight="1" spans="1:23">
      <c r="A437" s="117">
        <v>301005</v>
      </c>
      <c r="B437" s="29" t="s">
        <v>1816</v>
      </c>
      <c r="C437" s="118" t="s">
        <v>1785</v>
      </c>
      <c r="D437" s="82" t="s">
        <v>1786</v>
      </c>
      <c r="E437" s="37" t="s">
        <v>3047</v>
      </c>
      <c r="F437" s="32" t="s">
        <v>3029</v>
      </c>
      <c r="G437" s="33">
        <f t="shared" si="153"/>
        <v>0</v>
      </c>
      <c r="H437" s="33"/>
      <c r="I437" s="33"/>
      <c r="J437" s="33"/>
      <c r="K437" s="33"/>
      <c r="L437" s="33"/>
      <c r="M437" s="54">
        <f t="shared" si="154"/>
        <v>0.108</v>
      </c>
      <c r="N437" s="54"/>
      <c r="O437" s="54">
        <v>0.108</v>
      </c>
      <c r="P437" s="54"/>
      <c r="Q437" s="68">
        <f t="shared" si="155"/>
        <v>0</v>
      </c>
      <c r="R437" s="68"/>
      <c r="S437" s="68"/>
      <c r="T437" s="68"/>
      <c r="U437" s="129"/>
      <c r="V437" s="54">
        <f t="shared" si="156"/>
        <v>0.108</v>
      </c>
      <c r="W437" s="92" t="s">
        <v>643</v>
      </c>
    </row>
    <row r="438" s="4" customFormat="1" ht="26.25" customHeight="1" spans="1:23">
      <c r="A438" s="117">
        <v>301005</v>
      </c>
      <c r="B438" s="29" t="s">
        <v>1816</v>
      </c>
      <c r="C438" s="118" t="s">
        <v>1785</v>
      </c>
      <c r="D438" s="135" t="s">
        <v>1786</v>
      </c>
      <c r="E438" s="37" t="s">
        <v>3048</v>
      </c>
      <c r="F438" s="48" t="s">
        <v>1016</v>
      </c>
      <c r="G438" s="33">
        <f t="shared" si="153"/>
        <v>6.56</v>
      </c>
      <c r="H438" s="33">
        <v>6.56</v>
      </c>
      <c r="I438" s="33"/>
      <c r="J438" s="33"/>
      <c r="K438" s="33"/>
      <c r="L438" s="33"/>
      <c r="M438" s="54">
        <f t="shared" si="154"/>
        <v>0</v>
      </c>
      <c r="N438" s="54"/>
      <c r="O438" s="54"/>
      <c r="P438" s="54"/>
      <c r="Q438" s="68">
        <f t="shared" si="155"/>
        <v>0</v>
      </c>
      <c r="R438" s="68"/>
      <c r="S438" s="68"/>
      <c r="T438" s="68"/>
      <c r="U438" s="129">
        <v>3.81</v>
      </c>
      <c r="V438" s="33">
        <f t="shared" si="156"/>
        <v>2.75</v>
      </c>
      <c r="W438" s="130" t="s">
        <v>2283</v>
      </c>
    </row>
    <row r="439" s="4" customFormat="1" ht="26.25" customHeight="1" spans="1:23">
      <c r="A439" s="117">
        <v>301005</v>
      </c>
      <c r="B439" s="29" t="s">
        <v>1816</v>
      </c>
      <c r="C439" s="118" t="s">
        <v>1785</v>
      </c>
      <c r="D439" s="82" t="s">
        <v>1786</v>
      </c>
      <c r="E439" s="37" t="s">
        <v>3049</v>
      </c>
      <c r="F439" s="48" t="s">
        <v>3027</v>
      </c>
      <c r="G439" s="33">
        <f t="shared" si="153"/>
        <v>5.2</v>
      </c>
      <c r="H439" s="33"/>
      <c r="I439" s="33"/>
      <c r="J439" s="33">
        <v>5.2</v>
      </c>
      <c r="K439" s="33"/>
      <c r="L439" s="33"/>
      <c r="M439" s="54">
        <f t="shared" si="154"/>
        <v>0</v>
      </c>
      <c r="N439" s="54">
        <v>-5.2</v>
      </c>
      <c r="O439" s="54">
        <v>5.2</v>
      </c>
      <c r="P439" s="54"/>
      <c r="Q439" s="68">
        <f t="shared" si="155"/>
        <v>0</v>
      </c>
      <c r="R439" s="68"/>
      <c r="S439" s="68"/>
      <c r="T439" s="68"/>
      <c r="U439" s="129"/>
      <c r="V439" s="54">
        <f t="shared" si="156"/>
        <v>5.2</v>
      </c>
      <c r="W439" s="92" t="s">
        <v>481</v>
      </c>
    </row>
    <row r="440" s="4" customFormat="1" ht="26.25" customHeight="1" spans="1:23">
      <c r="A440" s="117">
        <v>301005</v>
      </c>
      <c r="B440" s="29" t="s">
        <v>1816</v>
      </c>
      <c r="C440" s="118" t="s">
        <v>1785</v>
      </c>
      <c r="D440" s="82" t="s">
        <v>1786</v>
      </c>
      <c r="E440" s="37" t="s">
        <v>3049</v>
      </c>
      <c r="F440" s="32" t="s">
        <v>3027</v>
      </c>
      <c r="G440" s="33">
        <f t="shared" si="153"/>
        <v>0</v>
      </c>
      <c r="H440" s="33"/>
      <c r="I440" s="33"/>
      <c r="J440" s="33"/>
      <c r="K440" s="33"/>
      <c r="L440" s="33"/>
      <c r="M440" s="54">
        <f t="shared" si="154"/>
        <v>5.944</v>
      </c>
      <c r="N440" s="54"/>
      <c r="O440" s="54">
        <v>5.944</v>
      </c>
      <c r="P440" s="54"/>
      <c r="Q440" s="68">
        <f t="shared" si="155"/>
        <v>0</v>
      </c>
      <c r="R440" s="68"/>
      <c r="S440" s="68"/>
      <c r="T440" s="68"/>
      <c r="U440" s="129"/>
      <c r="V440" s="54">
        <f t="shared" si="156"/>
        <v>5.944</v>
      </c>
      <c r="W440" s="92" t="s">
        <v>643</v>
      </c>
    </row>
    <row r="441" s="4" customFormat="1" ht="26.25" customHeight="1" spans="1:23">
      <c r="A441" s="115">
        <v>301006</v>
      </c>
      <c r="B441" s="23" t="s">
        <v>1340</v>
      </c>
      <c r="C441" s="116"/>
      <c r="D441" s="116"/>
      <c r="E441" s="84"/>
      <c r="F441" s="26"/>
      <c r="G441" s="27">
        <f t="shared" ref="G441:V441" si="157">SUM(G442:G447)</f>
        <v>101.065</v>
      </c>
      <c r="H441" s="27">
        <f t="shared" si="157"/>
        <v>101.065</v>
      </c>
      <c r="I441" s="27">
        <f t="shared" si="157"/>
        <v>0</v>
      </c>
      <c r="J441" s="27">
        <f t="shared" si="157"/>
        <v>0</v>
      </c>
      <c r="K441" s="27">
        <f t="shared" si="157"/>
        <v>0</v>
      </c>
      <c r="L441" s="27">
        <f t="shared" si="157"/>
        <v>0</v>
      </c>
      <c r="M441" s="27">
        <f t="shared" si="157"/>
        <v>25</v>
      </c>
      <c r="N441" s="27">
        <f t="shared" si="157"/>
        <v>0</v>
      </c>
      <c r="O441" s="27">
        <f t="shared" si="157"/>
        <v>25</v>
      </c>
      <c r="P441" s="27">
        <f t="shared" si="157"/>
        <v>0</v>
      </c>
      <c r="Q441" s="27">
        <f t="shared" si="157"/>
        <v>281.1</v>
      </c>
      <c r="R441" s="27">
        <f t="shared" si="157"/>
        <v>0</v>
      </c>
      <c r="S441" s="27">
        <f t="shared" si="157"/>
        <v>406</v>
      </c>
      <c r="T441" s="27">
        <f t="shared" si="157"/>
        <v>124.9</v>
      </c>
      <c r="U441" s="27">
        <f t="shared" si="157"/>
        <v>7</v>
      </c>
      <c r="V441" s="27">
        <f t="shared" si="157"/>
        <v>400.165</v>
      </c>
      <c r="W441" s="67"/>
    </row>
    <row r="442" s="4" customFormat="1" ht="26.25" customHeight="1" spans="1:23">
      <c r="A442" s="117">
        <v>301006</v>
      </c>
      <c r="B442" s="29" t="s">
        <v>1826</v>
      </c>
      <c r="C442" s="118" t="s">
        <v>1785</v>
      </c>
      <c r="D442" s="86" t="s">
        <v>1786</v>
      </c>
      <c r="E442" s="121" t="s">
        <v>3050</v>
      </c>
      <c r="F442" s="38" t="s">
        <v>3051</v>
      </c>
      <c r="G442" s="33">
        <f t="shared" ref="G442:G447" si="158">SUM(H442:J442)</f>
        <v>0</v>
      </c>
      <c r="H442" s="33"/>
      <c r="I442" s="33"/>
      <c r="J442" s="33"/>
      <c r="K442" s="33"/>
      <c r="L442" s="33"/>
      <c r="M442" s="54">
        <f t="shared" ref="M442:M447" si="159">N442+O442-P442</f>
        <v>0</v>
      </c>
      <c r="N442" s="54"/>
      <c r="O442" s="54"/>
      <c r="P442" s="54"/>
      <c r="Q442" s="68">
        <f t="shared" ref="Q442:Q447" si="160">R442+S442-T442</f>
        <v>281.1</v>
      </c>
      <c r="R442" s="68"/>
      <c r="S442" s="68">
        <v>406</v>
      </c>
      <c r="T442" s="68">
        <v>124.9</v>
      </c>
      <c r="U442" s="129"/>
      <c r="V442" s="68">
        <f t="shared" ref="V442:V447" si="161">G442+K442+L442+M442+Q442-U442</f>
        <v>281.1</v>
      </c>
      <c r="W442" s="91" t="s">
        <v>3052</v>
      </c>
    </row>
    <row r="443" s="4" customFormat="1" ht="26.25" customHeight="1" spans="1:23">
      <c r="A443" s="117">
        <v>301006</v>
      </c>
      <c r="B443" s="29" t="s">
        <v>1826</v>
      </c>
      <c r="C443" s="118" t="s">
        <v>1785</v>
      </c>
      <c r="D443" s="82" t="s">
        <v>1786</v>
      </c>
      <c r="E443" s="121" t="s">
        <v>3050</v>
      </c>
      <c r="F443" s="76" t="s">
        <v>3051</v>
      </c>
      <c r="G443" s="33">
        <f t="shared" si="158"/>
        <v>0</v>
      </c>
      <c r="H443" s="33"/>
      <c r="I443" s="33"/>
      <c r="J443" s="33"/>
      <c r="K443" s="33"/>
      <c r="L443" s="33"/>
      <c r="M443" s="54">
        <f t="shared" si="159"/>
        <v>25</v>
      </c>
      <c r="N443" s="54"/>
      <c r="O443" s="54">
        <v>25</v>
      </c>
      <c r="P443" s="54"/>
      <c r="Q443" s="68">
        <f t="shared" si="160"/>
        <v>0</v>
      </c>
      <c r="R443" s="68"/>
      <c r="S443" s="68"/>
      <c r="T443" s="68"/>
      <c r="U443" s="129"/>
      <c r="V443" s="54">
        <f t="shared" si="161"/>
        <v>25</v>
      </c>
      <c r="W443" s="92" t="s">
        <v>701</v>
      </c>
    </row>
    <row r="444" s="4" customFormat="1" ht="26.25" customHeight="1" spans="1:23">
      <c r="A444" s="117">
        <v>301006</v>
      </c>
      <c r="B444" s="29" t="s">
        <v>1826</v>
      </c>
      <c r="C444" s="118" t="s">
        <v>1785</v>
      </c>
      <c r="D444" s="135" t="s">
        <v>1786</v>
      </c>
      <c r="E444" s="37" t="s">
        <v>3053</v>
      </c>
      <c r="F444" s="48" t="s">
        <v>1016</v>
      </c>
      <c r="G444" s="33">
        <f t="shared" si="158"/>
        <v>17.2</v>
      </c>
      <c r="H444" s="33">
        <v>17.2</v>
      </c>
      <c r="I444" s="33"/>
      <c r="J444" s="33"/>
      <c r="K444" s="33"/>
      <c r="L444" s="33"/>
      <c r="M444" s="54">
        <f t="shared" si="159"/>
        <v>0</v>
      </c>
      <c r="N444" s="54"/>
      <c r="O444" s="54"/>
      <c r="P444" s="54"/>
      <c r="Q444" s="68">
        <f t="shared" si="160"/>
        <v>0</v>
      </c>
      <c r="R444" s="68"/>
      <c r="S444" s="68"/>
      <c r="T444" s="68"/>
      <c r="U444" s="129">
        <v>7</v>
      </c>
      <c r="V444" s="33">
        <f t="shared" si="161"/>
        <v>10.2</v>
      </c>
      <c r="W444" s="130" t="s">
        <v>2283</v>
      </c>
    </row>
    <row r="445" s="4" customFormat="1" ht="26.25" customHeight="1" spans="1:23">
      <c r="A445" s="117">
        <v>301006</v>
      </c>
      <c r="B445" s="29" t="s">
        <v>1826</v>
      </c>
      <c r="C445" s="118" t="s">
        <v>1785</v>
      </c>
      <c r="D445" s="120" t="s">
        <v>1786</v>
      </c>
      <c r="E445" s="37" t="s">
        <v>3054</v>
      </c>
      <c r="F445" s="32" t="s">
        <v>3055</v>
      </c>
      <c r="G445" s="33">
        <f t="shared" si="158"/>
        <v>16.8</v>
      </c>
      <c r="H445" s="33">
        <v>16.8</v>
      </c>
      <c r="I445" s="33"/>
      <c r="J445" s="33"/>
      <c r="K445" s="33"/>
      <c r="L445" s="33"/>
      <c r="M445" s="54">
        <f t="shared" si="159"/>
        <v>0</v>
      </c>
      <c r="N445" s="54"/>
      <c r="O445" s="54"/>
      <c r="P445" s="54"/>
      <c r="Q445" s="68">
        <f t="shared" si="160"/>
        <v>0</v>
      </c>
      <c r="R445" s="68"/>
      <c r="S445" s="68"/>
      <c r="T445" s="68"/>
      <c r="U445" s="129"/>
      <c r="V445" s="70">
        <f t="shared" si="161"/>
        <v>16.8</v>
      </c>
      <c r="W445" s="130" t="s">
        <v>2283</v>
      </c>
    </row>
    <row r="446" s="4" customFormat="1" ht="26.25" customHeight="1" spans="1:23">
      <c r="A446" s="117">
        <v>301006</v>
      </c>
      <c r="B446" s="29" t="s">
        <v>1826</v>
      </c>
      <c r="C446" s="118" t="s">
        <v>1785</v>
      </c>
      <c r="D446" s="135" t="s">
        <v>1786</v>
      </c>
      <c r="E446" s="37" t="s">
        <v>3056</v>
      </c>
      <c r="F446" s="48" t="s">
        <v>1023</v>
      </c>
      <c r="G446" s="33">
        <f t="shared" si="158"/>
        <v>53.465</v>
      </c>
      <c r="H446" s="33">
        <v>53.465</v>
      </c>
      <c r="I446" s="33"/>
      <c r="J446" s="33"/>
      <c r="K446" s="33"/>
      <c r="L446" s="33"/>
      <c r="M446" s="54">
        <f t="shared" si="159"/>
        <v>0</v>
      </c>
      <c r="N446" s="54"/>
      <c r="O446" s="54"/>
      <c r="P446" s="54"/>
      <c r="Q446" s="68">
        <f t="shared" si="160"/>
        <v>0</v>
      </c>
      <c r="R446" s="68"/>
      <c r="S446" s="68"/>
      <c r="T446" s="68"/>
      <c r="U446" s="129"/>
      <c r="V446" s="33">
        <f t="shared" si="161"/>
        <v>53.465</v>
      </c>
      <c r="W446" s="130" t="s">
        <v>2283</v>
      </c>
    </row>
    <row r="447" s="4" customFormat="1" ht="26.25" customHeight="1" spans="1:23">
      <c r="A447" s="117">
        <v>301006</v>
      </c>
      <c r="B447" s="29" t="s">
        <v>1826</v>
      </c>
      <c r="C447" s="118" t="s">
        <v>1785</v>
      </c>
      <c r="D447" s="120" t="s">
        <v>1786</v>
      </c>
      <c r="E447" s="37" t="s">
        <v>3057</v>
      </c>
      <c r="F447" s="32" t="s">
        <v>1030</v>
      </c>
      <c r="G447" s="33">
        <f t="shared" si="158"/>
        <v>13.6</v>
      </c>
      <c r="H447" s="33">
        <v>13.6</v>
      </c>
      <c r="I447" s="33"/>
      <c r="J447" s="33"/>
      <c r="K447" s="33"/>
      <c r="L447" s="33"/>
      <c r="M447" s="54">
        <f t="shared" si="159"/>
        <v>0</v>
      </c>
      <c r="N447" s="54"/>
      <c r="O447" s="54"/>
      <c r="P447" s="54"/>
      <c r="Q447" s="68">
        <f t="shared" si="160"/>
        <v>0</v>
      </c>
      <c r="R447" s="68"/>
      <c r="S447" s="68"/>
      <c r="T447" s="68"/>
      <c r="U447" s="129"/>
      <c r="V447" s="70">
        <f t="shared" si="161"/>
        <v>13.6</v>
      </c>
      <c r="W447" s="130" t="s">
        <v>2283</v>
      </c>
    </row>
    <row r="448" s="4" customFormat="1" ht="26.25" customHeight="1" spans="1:23">
      <c r="A448" s="115">
        <v>301007</v>
      </c>
      <c r="B448" s="23" t="s">
        <v>1342</v>
      </c>
      <c r="C448" s="116"/>
      <c r="D448" s="116"/>
      <c r="E448" s="84"/>
      <c r="F448" s="26"/>
      <c r="G448" s="27">
        <f t="shared" ref="G448:V448" si="162">SUM(G449:G452)</f>
        <v>129.815</v>
      </c>
      <c r="H448" s="27">
        <f t="shared" si="162"/>
        <v>129.815</v>
      </c>
      <c r="I448" s="27">
        <f t="shared" si="162"/>
        <v>0</v>
      </c>
      <c r="J448" s="27">
        <f t="shared" si="162"/>
        <v>0</v>
      </c>
      <c r="K448" s="27">
        <f t="shared" si="162"/>
        <v>0</v>
      </c>
      <c r="L448" s="27">
        <f t="shared" si="162"/>
        <v>0</v>
      </c>
      <c r="M448" s="27">
        <f t="shared" si="162"/>
        <v>0</v>
      </c>
      <c r="N448" s="27">
        <f t="shared" si="162"/>
        <v>0</v>
      </c>
      <c r="O448" s="27">
        <f t="shared" si="162"/>
        <v>0</v>
      </c>
      <c r="P448" s="27">
        <f t="shared" si="162"/>
        <v>0</v>
      </c>
      <c r="Q448" s="27">
        <f t="shared" si="162"/>
        <v>0</v>
      </c>
      <c r="R448" s="27">
        <f t="shared" si="162"/>
        <v>0</v>
      </c>
      <c r="S448" s="27">
        <f t="shared" si="162"/>
        <v>0</v>
      </c>
      <c r="T448" s="27">
        <f t="shared" si="162"/>
        <v>0</v>
      </c>
      <c r="U448" s="27">
        <f t="shared" si="162"/>
        <v>0</v>
      </c>
      <c r="V448" s="27">
        <f t="shared" si="162"/>
        <v>129.815</v>
      </c>
      <c r="W448" s="67"/>
    </row>
    <row r="449" s="4" customFormat="1" ht="26.25" customHeight="1" spans="1:23">
      <c r="A449" s="117">
        <v>301007</v>
      </c>
      <c r="B449" s="29" t="s">
        <v>1836</v>
      </c>
      <c r="C449" s="118" t="s">
        <v>1785</v>
      </c>
      <c r="D449" s="135" t="s">
        <v>1786</v>
      </c>
      <c r="E449" s="37" t="s">
        <v>3058</v>
      </c>
      <c r="F449" s="48" t="s">
        <v>1016</v>
      </c>
      <c r="G449" s="33">
        <f t="shared" ref="G449:G452" si="163">SUM(H449:J449)</f>
        <v>22.82</v>
      </c>
      <c r="H449" s="33">
        <v>22.82</v>
      </c>
      <c r="I449" s="33"/>
      <c r="J449" s="33"/>
      <c r="K449" s="33"/>
      <c r="L449" s="33"/>
      <c r="M449" s="54">
        <f t="shared" ref="M449:M452" si="164">N449+O449-P449</f>
        <v>0</v>
      </c>
      <c r="N449" s="54"/>
      <c r="O449" s="54"/>
      <c r="P449" s="54"/>
      <c r="Q449" s="68">
        <f t="shared" ref="Q449:Q452" si="165">R449+S449-T449</f>
        <v>0</v>
      </c>
      <c r="R449" s="68"/>
      <c r="S449" s="68"/>
      <c r="T449" s="68"/>
      <c r="U449" s="129"/>
      <c r="V449" s="33">
        <f t="shared" ref="V449:V452" si="166">G449+K449+L449+M449+Q449-U449</f>
        <v>22.82</v>
      </c>
      <c r="W449" s="130" t="s">
        <v>2283</v>
      </c>
    </row>
    <row r="450" s="4" customFormat="1" ht="26.25" customHeight="1" spans="1:23">
      <c r="A450" s="117">
        <v>301007</v>
      </c>
      <c r="B450" s="29" t="s">
        <v>1836</v>
      </c>
      <c r="C450" s="118" t="s">
        <v>1785</v>
      </c>
      <c r="D450" s="135" t="s">
        <v>1786</v>
      </c>
      <c r="E450" s="37" t="s">
        <v>3059</v>
      </c>
      <c r="F450" s="48" t="s">
        <v>1023</v>
      </c>
      <c r="G450" s="33">
        <f t="shared" si="163"/>
        <v>64.175</v>
      </c>
      <c r="H450" s="33">
        <v>64.175</v>
      </c>
      <c r="I450" s="33"/>
      <c r="J450" s="33"/>
      <c r="K450" s="33"/>
      <c r="L450" s="33"/>
      <c r="M450" s="54">
        <f t="shared" si="164"/>
        <v>0</v>
      </c>
      <c r="N450" s="54"/>
      <c r="O450" s="54"/>
      <c r="P450" s="54"/>
      <c r="Q450" s="68">
        <f t="shared" si="165"/>
        <v>0</v>
      </c>
      <c r="R450" s="68"/>
      <c r="S450" s="68"/>
      <c r="T450" s="68"/>
      <c r="U450" s="129"/>
      <c r="V450" s="33">
        <f t="shared" si="166"/>
        <v>64.175</v>
      </c>
      <c r="W450" s="130" t="s">
        <v>2283</v>
      </c>
    </row>
    <row r="451" s="4" customFormat="1" ht="26.25" customHeight="1" spans="1:23">
      <c r="A451" s="117">
        <v>301007</v>
      </c>
      <c r="B451" s="29" t="s">
        <v>1836</v>
      </c>
      <c r="C451" s="118" t="s">
        <v>1785</v>
      </c>
      <c r="D451" s="120" t="s">
        <v>1786</v>
      </c>
      <c r="E451" s="37" t="s">
        <v>3060</v>
      </c>
      <c r="F451" s="32" t="s">
        <v>1030</v>
      </c>
      <c r="G451" s="33">
        <f t="shared" si="163"/>
        <v>26.02</v>
      </c>
      <c r="H451" s="33">
        <v>26.02</v>
      </c>
      <c r="I451" s="33"/>
      <c r="J451" s="33"/>
      <c r="K451" s="33"/>
      <c r="L451" s="33"/>
      <c r="M451" s="54">
        <f t="shared" si="164"/>
        <v>0</v>
      </c>
      <c r="N451" s="54"/>
      <c r="O451" s="54"/>
      <c r="P451" s="54"/>
      <c r="Q451" s="68">
        <f t="shared" si="165"/>
        <v>0</v>
      </c>
      <c r="R451" s="68"/>
      <c r="S451" s="68"/>
      <c r="T451" s="68"/>
      <c r="U451" s="129"/>
      <c r="V451" s="70">
        <f t="shared" si="166"/>
        <v>26.02</v>
      </c>
      <c r="W451" s="130" t="s">
        <v>2283</v>
      </c>
    </row>
    <row r="452" s="4" customFormat="1" ht="26.25" customHeight="1" spans="1:23">
      <c r="A452" s="117">
        <v>301007</v>
      </c>
      <c r="B452" s="29" t="s">
        <v>1836</v>
      </c>
      <c r="C452" s="118" t="s">
        <v>1785</v>
      </c>
      <c r="D452" s="120" t="s">
        <v>1786</v>
      </c>
      <c r="E452" s="37" t="s">
        <v>3061</v>
      </c>
      <c r="F452" s="32" t="s">
        <v>3055</v>
      </c>
      <c r="G452" s="33">
        <f t="shared" si="163"/>
        <v>16.8</v>
      </c>
      <c r="H452" s="33">
        <v>16.8</v>
      </c>
      <c r="I452" s="33"/>
      <c r="J452" s="33"/>
      <c r="K452" s="33"/>
      <c r="L452" s="33"/>
      <c r="M452" s="54">
        <f t="shared" si="164"/>
        <v>0</v>
      </c>
      <c r="N452" s="54"/>
      <c r="O452" s="54"/>
      <c r="P452" s="54"/>
      <c r="Q452" s="68">
        <f t="shared" si="165"/>
        <v>0</v>
      </c>
      <c r="R452" s="68"/>
      <c r="S452" s="68"/>
      <c r="T452" s="68"/>
      <c r="U452" s="129"/>
      <c r="V452" s="70">
        <f t="shared" si="166"/>
        <v>16.8</v>
      </c>
      <c r="W452" s="130" t="s">
        <v>2283</v>
      </c>
    </row>
    <row r="453" s="4" customFormat="1" ht="26.25" customHeight="1" spans="1:23">
      <c r="A453" s="115">
        <v>301008</v>
      </c>
      <c r="B453" s="23" t="s">
        <v>1344</v>
      </c>
      <c r="C453" s="116"/>
      <c r="D453" s="116"/>
      <c r="E453" s="84"/>
      <c r="F453" s="26"/>
      <c r="G453" s="27">
        <f t="shared" ref="G453:V453" si="167">SUM(G454:G457)</f>
        <v>275.89</v>
      </c>
      <c r="H453" s="27">
        <f t="shared" si="167"/>
        <v>273.89</v>
      </c>
      <c r="I453" s="27">
        <f t="shared" si="167"/>
        <v>2</v>
      </c>
      <c r="J453" s="27">
        <f t="shared" si="167"/>
        <v>0</v>
      </c>
      <c r="K453" s="27">
        <f t="shared" si="167"/>
        <v>0</v>
      </c>
      <c r="L453" s="27">
        <f t="shared" si="167"/>
        <v>0</v>
      </c>
      <c r="M453" s="27">
        <f t="shared" si="167"/>
        <v>0</v>
      </c>
      <c r="N453" s="27">
        <f t="shared" si="167"/>
        <v>0</v>
      </c>
      <c r="O453" s="27">
        <f t="shared" si="167"/>
        <v>0</v>
      </c>
      <c r="P453" s="27">
        <f t="shared" si="167"/>
        <v>0</v>
      </c>
      <c r="Q453" s="27">
        <f t="shared" si="167"/>
        <v>0</v>
      </c>
      <c r="R453" s="27">
        <f t="shared" si="167"/>
        <v>0</v>
      </c>
      <c r="S453" s="27">
        <f t="shared" si="167"/>
        <v>0</v>
      </c>
      <c r="T453" s="27">
        <f t="shared" si="167"/>
        <v>0</v>
      </c>
      <c r="U453" s="27">
        <f t="shared" si="167"/>
        <v>0</v>
      </c>
      <c r="V453" s="27">
        <f t="shared" si="167"/>
        <v>275.89</v>
      </c>
      <c r="W453" s="67"/>
    </row>
    <row r="454" s="4" customFormat="1" ht="26.25" customHeight="1" spans="1:23">
      <c r="A454" s="117">
        <v>301008</v>
      </c>
      <c r="B454" s="29" t="s">
        <v>1846</v>
      </c>
      <c r="C454" s="118" t="s">
        <v>1785</v>
      </c>
      <c r="D454" s="135" t="s">
        <v>1786</v>
      </c>
      <c r="E454" s="37" t="s">
        <v>3062</v>
      </c>
      <c r="F454" s="48" t="s">
        <v>1023</v>
      </c>
      <c r="G454" s="33">
        <f t="shared" ref="G454:G457" si="168">SUM(H454:J454)</f>
        <v>136.77</v>
      </c>
      <c r="H454" s="33">
        <v>136.77</v>
      </c>
      <c r="I454" s="33"/>
      <c r="J454" s="33"/>
      <c r="K454" s="33"/>
      <c r="L454" s="33"/>
      <c r="M454" s="54">
        <f t="shared" ref="M454:M457" si="169">N454+O454-P454</f>
        <v>0</v>
      </c>
      <c r="N454" s="54"/>
      <c r="O454" s="54"/>
      <c r="P454" s="54"/>
      <c r="Q454" s="68">
        <f t="shared" ref="Q454:Q457" si="170">R454+S454-T454</f>
        <v>0</v>
      </c>
      <c r="R454" s="68"/>
      <c r="S454" s="68"/>
      <c r="T454" s="68"/>
      <c r="U454" s="129"/>
      <c r="V454" s="33">
        <f t="shared" ref="V454:V457" si="171">G454+K454+L454+M454+Q454-U454</f>
        <v>136.77</v>
      </c>
      <c r="W454" s="130" t="s">
        <v>2283</v>
      </c>
    </row>
    <row r="455" s="4" customFormat="1" ht="26.25" customHeight="1" spans="1:23">
      <c r="A455" s="117">
        <v>301008</v>
      </c>
      <c r="B455" s="29" t="s">
        <v>1846</v>
      </c>
      <c r="C455" s="118" t="s">
        <v>1785</v>
      </c>
      <c r="D455" s="135" t="s">
        <v>1786</v>
      </c>
      <c r="E455" s="37" t="s">
        <v>3063</v>
      </c>
      <c r="F455" s="48" t="s">
        <v>1016</v>
      </c>
      <c r="G455" s="33">
        <f t="shared" si="168"/>
        <v>61.52</v>
      </c>
      <c r="H455" s="33">
        <v>61.52</v>
      </c>
      <c r="I455" s="33"/>
      <c r="J455" s="33"/>
      <c r="K455" s="33"/>
      <c r="L455" s="33"/>
      <c r="M455" s="54">
        <f t="shared" si="169"/>
        <v>0</v>
      </c>
      <c r="N455" s="54"/>
      <c r="O455" s="54"/>
      <c r="P455" s="54"/>
      <c r="Q455" s="68">
        <f t="shared" si="170"/>
        <v>0</v>
      </c>
      <c r="R455" s="68"/>
      <c r="S455" s="68"/>
      <c r="T455" s="68"/>
      <c r="U455" s="129"/>
      <c r="V455" s="33">
        <f t="shared" si="171"/>
        <v>61.52</v>
      </c>
      <c r="W455" s="130" t="s">
        <v>2283</v>
      </c>
    </row>
    <row r="456" s="4" customFormat="1" ht="26.25" customHeight="1" spans="1:23">
      <c r="A456" s="117">
        <v>301008</v>
      </c>
      <c r="B456" s="29" t="s">
        <v>1846</v>
      </c>
      <c r="C456" s="118" t="s">
        <v>1785</v>
      </c>
      <c r="D456" s="120" t="s">
        <v>1786</v>
      </c>
      <c r="E456" s="37" t="s">
        <v>3064</v>
      </c>
      <c r="F456" s="32" t="s">
        <v>1030</v>
      </c>
      <c r="G456" s="33">
        <f t="shared" si="168"/>
        <v>75.6</v>
      </c>
      <c r="H456" s="33">
        <v>75.6</v>
      </c>
      <c r="I456" s="33"/>
      <c r="J456" s="33"/>
      <c r="K456" s="33"/>
      <c r="L456" s="33"/>
      <c r="M456" s="54">
        <f t="shared" si="169"/>
        <v>0</v>
      </c>
      <c r="N456" s="54"/>
      <c r="O456" s="54"/>
      <c r="P456" s="54"/>
      <c r="Q456" s="68">
        <f t="shared" si="170"/>
        <v>0</v>
      </c>
      <c r="R456" s="68"/>
      <c r="S456" s="68"/>
      <c r="T456" s="68"/>
      <c r="U456" s="129"/>
      <c r="V456" s="70">
        <f t="shared" si="171"/>
        <v>75.6</v>
      </c>
      <c r="W456" s="130" t="s">
        <v>2283</v>
      </c>
    </row>
    <row r="457" s="4" customFormat="1" ht="26.25" customHeight="1" spans="1:23">
      <c r="A457" s="117">
        <v>301008</v>
      </c>
      <c r="B457" s="29" t="s">
        <v>1846</v>
      </c>
      <c r="C457" s="118" t="s">
        <v>1785</v>
      </c>
      <c r="D457" s="29" t="s">
        <v>1786</v>
      </c>
      <c r="E457" s="30" t="s">
        <v>3065</v>
      </c>
      <c r="F457" s="32" t="s">
        <v>1019</v>
      </c>
      <c r="G457" s="33">
        <f t="shared" si="168"/>
        <v>2</v>
      </c>
      <c r="H457" s="33"/>
      <c r="I457" s="33">
        <v>2</v>
      </c>
      <c r="J457" s="33"/>
      <c r="K457" s="33"/>
      <c r="L457" s="33"/>
      <c r="M457" s="54">
        <f t="shared" si="169"/>
        <v>0</v>
      </c>
      <c r="N457" s="54"/>
      <c r="O457" s="54"/>
      <c r="P457" s="54"/>
      <c r="Q457" s="68">
        <f t="shared" si="170"/>
        <v>0</v>
      </c>
      <c r="R457" s="68"/>
      <c r="S457" s="68"/>
      <c r="T457" s="68"/>
      <c r="U457" s="129"/>
      <c r="V457" s="33">
        <f t="shared" si="171"/>
        <v>2</v>
      </c>
      <c r="W457" s="130" t="s">
        <v>2283</v>
      </c>
    </row>
    <row r="458" s="4" customFormat="1" ht="26.25" customHeight="1" spans="1:23">
      <c r="A458" s="115">
        <v>301009</v>
      </c>
      <c r="B458" s="23" t="s">
        <v>1346</v>
      </c>
      <c r="C458" s="116"/>
      <c r="D458" s="116"/>
      <c r="E458" s="84"/>
      <c r="F458" s="26"/>
      <c r="G458" s="27">
        <f t="shared" ref="G458:V458" si="172">SUM(G459:G466)</f>
        <v>1047.31</v>
      </c>
      <c r="H458" s="27">
        <f t="shared" si="172"/>
        <v>181.91</v>
      </c>
      <c r="I458" s="27">
        <f t="shared" si="172"/>
        <v>518.4</v>
      </c>
      <c r="J458" s="27">
        <f t="shared" si="172"/>
        <v>347</v>
      </c>
      <c r="K458" s="27">
        <f t="shared" si="172"/>
        <v>0</v>
      </c>
      <c r="L458" s="27">
        <f t="shared" si="172"/>
        <v>0</v>
      </c>
      <c r="M458" s="27">
        <f t="shared" si="172"/>
        <v>71.39</v>
      </c>
      <c r="N458" s="27">
        <f t="shared" si="172"/>
        <v>-347</v>
      </c>
      <c r="O458" s="27">
        <f t="shared" si="172"/>
        <v>418.39</v>
      </c>
      <c r="P458" s="27">
        <f t="shared" si="172"/>
        <v>0</v>
      </c>
      <c r="Q458" s="27">
        <f t="shared" si="172"/>
        <v>0</v>
      </c>
      <c r="R458" s="27">
        <f t="shared" si="172"/>
        <v>0</v>
      </c>
      <c r="S458" s="27">
        <f t="shared" si="172"/>
        <v>0</v>
      </c>
      <c r="T458" s="27">
        <f t="shared" si="172"/>
        <v>0</v>
      </c>
      <c r="U458" s="27">
        <f t="shared" si="172"/>
        <v>265.13</v>
      </c>
      <c r="V458" s="27">
        <f t="shared" si="172"/>
        <v>853.57</v>
      </c>
      <c r="W458" s="67"/>
    </row>
    <row r="459" s="4" customFormat="1" ht="26.25" customHeight="1" spans="1:23">
      <c r="A459" s="117">
        <v>301009</v>
      </c>
      <c r="B459" s="29" t="s">
        <v>1856</v>
      </c>
      <c r="C459" s="118" t="s">
        <v>2993</v>
      </c>
      <c r="D459" s="29" t="s">
        <v>2994</v>
      </c>
      <c r="E459" s="30" t="s">
        <v>3066</v>
      </c>
      <c r="F459" s="32" t="s">
        <v>1022</v>
      </c>
      <c r="G459" s="33">
        <f t="shared" ref="G459:G466" si="173">SUM(H459:J459)</f>
        <v>518.4</v>
      </c>
      <c r="H459" s="33"/>
      <c r="I459" s="33">
        <v>518.4</v>
      </c>
      <c r="J459" s="33"/>
      <c r="K459" s="33"/>
      <c r="L459" s="33"/>
      <c r="M459" s="54">
        <f t="shared" ref="M459:M466" si="174">N459+O459-P459</f>
        <v>0</v>
      </c>
      <c r="N459" s="54"/>
      <c r="O459" s="54"/>
      <c r="P459" s="54"/>
      <c r="Q459" s="68">
        <f t="shared" ref="Q459:Q466" si="175">R459+S459-T459</f>
        <v>0</v>
      </c>
      <c r="R459" s="68"/>
      <c r="S459" s="68"/>
      <c r="T459" s="68"/>
      <c r="U459" s="129">
        <f>183.4+35</f>
        <v>218.4</v>
      </c>
      <c r="V459" s="33">
        <f t="shared" ref="V459:V466" si="176">G459+K459+L459+M459+Q459-U459</f>
        <v>300</v>
      </c>
      <c r="W459" s="130" t="s">
        <v>2283</v>
      </c>
    </row>
    <row r="460" s="4" customFormat="1" ht="26.25" customHeight="1" spans="1:23">
      <c r="A460" s="117">
        <v>301009</v>
      </c>
      <c r="B460" s="29" t="s">
        <v>1856</v>
      </c>
      <c r="C460" s="118" t="s">
        <v>2993</v>
      </c>
      <c r="D460" s="135" t="s">
        <v>2994</v>
      </c>
      <c r="E460" s="37" t="s">
        <v>3067</v>
      </c>
      <c r="F460" s="32" t="s">
        <v>888</v>
      </c>
      <c r="G460" s="33">
        <f t="shared" si="173"/>
        <v>72</v>
      </c>
      <c r="H460" s="33">
        <v>72</v>
      </c>
      <c r="I460" s="33"/>
      <c r="J460" s="33"/>
      <c r="K460" s="33"/>
      <c r="L460" s="33"/>
      <c r="M460" s="54">
        <f t="shared" si="174"/>
        <v>0</v>
      </c>
      <c r="N460" s="54"/>
      <c r="O460" s="54"/>
      <c r="P460" s="54"/>
      <c r="Q460" s="68">
        <f t="shared" si="175"/>
        <v>0</v>
      </c>
      <c r="R460" s="68"/>
      <c r="S460" s="68"/>
      <c r="T460" s="68"/>
      <c r="U460" s="129">
        <v>30.25</v>
      </c>
      <c r="V460" s="33">
        <f t="shared" si="176"/>
        <v>41.75</v>
      </c>
      <c r="W460" s="130" t="s">
        <v>2283</v>
      </c>
    </row>
    <row r="461" s="4" customFormat="1" ht="26.25" customHeight="1" spans="1:23">
      <c r="A461" s="117">
        <v>301009</v>
      </c>
      <c r="B461" s="29" t="s">
        <v>1856</v>
      </c>
      <c r="C461" s="118" t="s">
        <v>1857</v>
      </c>
      <c r="D461" s="119" t="s">
        <v>1858</v>
      </c>
      <c r="E461" s="30" t="s">
        <v>3068</v>
      </c>
      <c r="F461" s="32" t="s">
        <v>3069</v>
      </c>
      <c r="G461" s="33">
        <f t="shared" si="173"/>
        <v>4.5</v>
      </c>
      <c r="H461" s="33">
        <v>4.5</v>
      </c>
      <c r="I461" s="33"/>
      <c r="J461" s="33"/>
      <c r="K461" s="33"/>
      <c r="L461" s="33"/>
      <c r="M461" s="54">
        <f t="shared" si="174"/>
        <v>0</v>
      </c>
      <c r="N461" s="54"/>
      <c r="O461" s="54"/>
      <c r="P461" s="54"/>
      <c r="Q461" s="68">
        <f t="shared" si="175"/>
        <v>0</v>
      </c>
      <c r="R461" s="68"/>
      <c r="S461" s="68"/>
      <c r="T461" s="68"/>
      <c r="U461" s="129"/>
      <c r="V461" s="33">
        <f t="shared" si="176"/>
        <v>4.5</v>
      </c>
      <c r="W461" s="130" t="s">
        <v>2283</v>
      </c>
    </row>
    <row r="462" s="4" customFormat="1" ht="26.25" customHeight="1" spans="1:23">
      <c r="A462" s="117">
        <v>301009</v>
      </c>
      <c r="B462" s="29" t="s">
        <v>1856</v>
      </c>
      <c r="C462" s="118" t="s">
        <v>1857</v>
      </c>
      <c r="D462" s="120" t="s">
        <v>1858</v>
      </c>
      <c r="E462" s="37" t="s">
        <v>3070</v>
      </c>
      <c r="F462" s="32" t="s">
        <v>3071</v>
      </c>
      <c r="G462" s="33">
        <f t="shared" si="173"/>
        <v>33.6</v>
      </c>
      <c r="H462" s="33">
        <v>33.6</v>
      </c>
      <c r="I462" s="33"/>
      <c r="J462" s="33"/>
      <c r="K462" s="33"/>
      <c r="L462" s="33"/>
      <c r="M462" s="54">
        <f t="shared" si="174"/>
        <v>0</v>
      </c>
      <c r="N462" s="54"/>
      <c r="O462" s="54"/>
      <c r="P462" s="54"/>
      <c r="Q462" s="68">
        <f t="shared" si="175"/>
        <v>0</v>
      </c>
      <c r="R462" s="68"/>
      <c r="S462" s="68"/>
      <c r="T462" s="68"/>
      <c r="U462" s="129"/>
      <c r="V462" s="70">
        <f t="shared" si="176"/>
        <v>33.6</v>
      </c>
      <c r="W462" s="130" t="s">
        <v>2283</v>
      </c>
    </row>
    <row r="463" s="4" customFormat="1" ht="26.25" customHeight="1" spans="1:23">
      <c r="A463" s="117">
        <v>301009</v>
      </c>
      <c r="B463" s="29" t="s">
        <v>1856</v>
      </c>
      <c r="C463" s="118" t="s">
        <v>1857</v>
      </c>
      <c r="D463" s="82" t="s">
        <v>1858</v>
      </c>
      <c r="E463" s="37" t="s">
        <v>3072</v>
      </c>
      <c r="F463" s="48" t="s">
        <v>3029</v>
      </c>
      <c r="G463" s="33">
        <f t="shared" si="173"/>
        <v>347</v>
      </c>
      <c r="H463" s="33"/>
      <c r="I463" s="33"/>
      <c r="J463" s="33">
        <v>347</v>
      </c>
      <c r="K463" s="33"/>
      <c r="L463" s="33"/>
      <c r="M463" s="54">
        <f t="shared" si="174"/>
        <v>34</v>
      </c>
      <c r="N463" s="54">
        <v>-347</v>
      </c>
      <c r="O463" s="54">
        <v>381</v>
      </c>
      <c r="P463" s="54"/>
      <c r="Q463" s="68">
        <f t="shared" si="175"/>
        <v>0</v>
      </c>
      <c r="R463" s="68"/>
      <c r="S463" s="68"/>
      <c r="T463" s="68"/>
      <c r="U463" s="129"/>
      <c r="V463" s="54">
        <f t="shared" si="176"/>
        <v>381</v>
      </c>
      <c r="W463" s="92" t="s">
        <v>481</v>
      </c>
    </row>
    <row r="464" s="4" customFormat="1" ht="26.25" customHeight="1" spans="1:23">
      <c r="A464" s="117">
        <v>301009</v>
      </c>
      <c r="B464" s="29" t="s">
        <v>1856</v>
      </c>
      <c r="C464" s="118" t="s">
        <v>1857</v>
      </c>
      <c r="D464" s="82" t="s">
        <v>1858</v>
      </c>
      <c r="E464" s="37" t="s">
        <v>3072</v>
      </c>
      <c r="F464" s="32" t="s">
        <v>3029</v>
      </c>
      <c r="G464" s="33">
        <f t="shared" si="173"/>
        <v>0</v>
      </c>
      <c r="H464" s="33"/>
      <c r="I464" s="33"/>
      <c r="J464" s="33"/>
      <c r="K464" s="33"/>
      <c r="L464" s="33"/>
      <c r="M464" s="54">
        <f t="shared" si="174"/>
        <v>37.39</v>
      </c>
      <c r="N464" s="54"/>
      <c r="O464" s="54">
        <v>37.39</v>
      </c>
      <c r="P464" s="54"/>
      <c r="Q464" s="68">
        <f t="shared" si="175"/>
        <v>0</v>
      </c>
      <c r="R464" s="68"/>
      <c r="S464" s="68"/>
      <c r="T464" s="68"/>
      <c r="U464" s="129"/>
      <c r="V464" s="54">
        <f t="shared" si="176"/>
        <v>37.39</v>
      </c>
      <c r="W464" s="92" t="s">
        <v>643</v>
      </c>
    </row>
    <row r="465" s="4" customFormat="1" ht="26.25" customHeight="1" spans="1:23">
      <c r="A465" s="117">
        <v>301009</v>
      </c>
      <c r="B465" s="29" t="s">
        <v>1856</v>
      </c>
      <c r="C465" s="118" t="s">
        <v>1857</v>
      </c>
      <c r="D465" s="135" t="s">
        <v>1858</v>
      </c>
      <c r="E465" s="37" t="s">
        <v>3073</v>
      </c>
      <c r="F465" s="48" t="s">
        <v>1023</v>
      </c>
      <c r="G465" s="33">
        <f t="shared" si="173"/>
        <v>47.81</v>
      </c>
      <c r="H465" s="33">
        <v>47.81</v>
      </c>
      <c r="I465" s="33"/>
      <c r="J465" s="33"/>
      <c r="K465" s="33"/>
      <c r="L465" s="33"/>
      <c r="M465" s="54">
        <f t="shared" si="174"/>
        <v>0</v>
      </c>
      <c r="N465" s="54"/>
      <c r="O465" s="54"/>
      <c r="P465" s="54"/>
      <c r="Q465" s="68">
        <f t="shared" si="175"/>
        <v>0</v>
      </c>
      <c r="R465" s="68"/>
      <c r="S465" s="68"/>
      <c r="T465" s="68"/>
      <c r="U465" s="129">
        <v>16.48</v>
      </c>
      <c r="V465" s="33">
        <f t="shared" si="176"/>
        <v>31.33</v>
      </c>
      <c r="W465" s="130" t="s">
        <v>2283</v>
      </c>
    </row>
    <row r="466" s="4" customFormat="1" ht="26.25" customHeight="1" spans="1:23">
      <c r="A466" s="117">
        <v>301009</v>
      </c>
      <c r="B466" s="29" t="s">
        <v>1856</v>
      </c>
      <c r="C466" s="118" t="s">
        <v>1857</v>
      </c>
      <c r="D466" s="119" t="s">
        <v>1858</v>
      </c>
      <c r="E466" s="30" t="s">
        <v>3074</v>
      </c>
      <c r="F466" s="32" t="s">
        <v>1025</v>
      </c>
      <c r="G466" s="33">
        <f t="shared" si="173"/>
        <v>24</v>
      </c>
      <c r="H466" s="33">
        <v>24</v>
      </c>
      <c r="I466" s="33"/>
      <c r="J466" s="33"/>
      <c r="K466" s="33"/>
      <c r="L466" s="33"/>
      <c r="M466" s="54">
        <f t="shared" si="174"/>
        <v>0</v>
      </c>
      <c r="N466" s="54"/>
      <c r="O466" s="54"/>
      <c r="P466" s="54"/>
      <c r="Q466" s="68">
        <f t="shared" si="175"/>
        <v>0</v>
      </c>
      <c r="R466" s="68"/>
      <c r="S466" s="68"/>
      <c r="T466" s="68"/>
      <c r="U466" s="129"/>
      <c r="V466" s="33">
        <f t="shared" si="176"/>
        <v>24</v>
      </c>
      <c r="W466" s="130" t="s">
        <v>2283</v>
      </c>
    </row>
    <row r="467" s="4" customFormat="1" ht="26.25" customHeight="1" spans="1:23">
      <c r="A467" s="115">
        <v>301010</v>
      </c>
      <c r="B467" s="23" t="s">
        <v>1348</v>
      </c>
      <c r="C467" s="116"/>
      <c r="D467" s="116"/>
      <c r="E467" s="84"/>
      <c r="F467" s="26"/>
      <c r="G467" s="27">
        <f t="shared" ref="G467:V467" si="177">SUM(G468:G478)</f>
        <v>841.72</v>
      </c>
      <c r="H467" s="27">
        <f t="shared" si="177"/>
        <v>133.72</v>
      </c>
      <c r="I467" s="27">
        <f t="shared" si="177"/>
        <v>505</v>
      </c>
      <c r="J467" s="27">
        <f t="shared" si="177"/>
        <v>203</v>
      </c>
      <c r="K467" s="27">
        <f t="shared" si="177"/>
        <v>0</v>
      </c>
      <c r="L467" s="27">
        <f t="shared" si="177"/>
        <v>0</v>
      </c>
      <c r="M467" s="27">
        <f t="shared" si="177"/>
        <v>14.392</v>
      </c>
      <c r="N467" s="27">
        <f t="shared" si="177"/>
        <v>-203</v>
      </c>
      <c r="O467" s="27">
        <f t="shared" si="177"/>
        <v>217.392</v>
      </c>
      <c r="P467" s="27">
        <f t="shared" si="177"/>
        <v>0</v>
      </c>
      <c r="Q467" s="27">
        <f t="shared" si="177"/>
        <v>30</v>
      </c>
      <c r="R467" s="27">
        <f t="shared" si="177"/>
        <v>0</v>
      </c>
      <c r="S467" s="27">
        <f t="shared" si="177"/>
        <v>30</v>
      </c>
      <c r="T467" s="27">
        <f t="shared" si="177"/>
        <v>0</v>
      </c>
      <c r="U467" s="27">
        <f t="shared" si="177"/>
        <v>355.14</v>
      </c>
      <c r="V467" s="27">
        <f t="shared" si="177"/>
        <v>530.972</v>
      </c>
      <c r="W467" s="67"/>
    </row>
    <row r="468" s="4" customFormat="1" ht="26.25" customHeight="1" spans="1:23">
      <c r="A468" s="117">
        <v>301010</v>
      </c>
      <c r="B468" s="29" t="s">
        <v>1868</v>
      </c>
      <c r="C468" s="118" t="s">
        <v>2993</v>
      </c>
      <c r="D468" s="135" t="s">
        <v>2994</v>
      </c>
      <c r="E468" s="37" t="s">
        <v>3075</v>
      </c>
      <c r="F468" s="32" t="s">
        <v>888</v>
      </c>
      <c r="G468" s="33">
        <f t="shared" ref="G468:G478" si="178">SUM(H468:J468)</f>
        <v>45</v>
      </c>
      <c r="H468" s="33">
        <v>45</v>
      </c>
      <c r="I468" s="33"/>
      <c r="J468" s="33"/>
      <c r="K468" s="33"/>
      <c r="L468" s="33"/>
      <c r="M468" s="54">
        <f t="shared" ref="M468:M478" si="179">N468+O468-P468</f>
        <v>0</v>
      </c>
      <c r="N468" s="54"/>
      <c r="O468" s="54"/>
      <c r="P468" s="54"/>
      <c r="Q468" s="68">
        <f t="shared" ref="Q468:Q478" si="180">R468+S468-T468</f>
        <v>0</v>
      </c>
      <c r="R468" s="68"/>
      <c r="S468" s="68"/>
      <c r="T468" s="68"/>
      <c r="U468" s="129">
        <v>10.14</v>
      </c>
      <c r="V468" s="33">
        <f t="shared" ref="V468:V478" si="181">G468+K468+L468+M468+Q468-U468</f>
        <v>34.86</v>
      </c>
      <c r="W468" s="130" t="s">
        <v>2283</v>
      </c>
    </row>
    <row r="469" s="4" customFormat="1" ht="26.25" customHeight="1" spans="1:23">
      <c r="A469" s="117">
        <v>301010</v>
      </c>
      <c r="B469" s="29" t="s">
        <v>1868</v>
      </c>
      <c r="C469" s="118" t="s">
        <v>2993</v>
      </c>
      <c r="D469" s="29" t="s">
        <v>2994</v>
      </c>
      <c r="E469" s="30" t="s">
        <v>3076</v>
      </c>
      <c r="F469" s="32" t="s">
        <v>1022</v>
      </c>
      <c r="G469" s="33">
        <f t="shared" si="178"/>
        <v>500</v>
      </c>
      <c r="H469" s="33"/>
      <c r="I469" s="33">
        <v>500</v>
      </c>
      <c r="J469" s="33"/>
      <c r="K469" s="33"/>
      <c r="L469" s="33"/>
      <c r="M469" s="54">
        <f t="shared" si="179"/>
        <v>0</v>
      </c>
      <c r="N469" s="54"/>
      <c r="O469" s="54"/>
      <c r="P469" s="54"/>
      <c r="Q469" s="68">
        <f t="shared" si="180"/>
        <v>0</v>
      </c>
      <c r="R469" s="68"/>
      <c r="S469" s="68"/>
      <c r="T469" s="68"/>
      <c r="U469" s="129">
        <v>340</v>
      </c>
      <c r="V469" s="33">
        <f t="shared" si="181"/>
        <v>160</v>
      </c>
      <c r="W469" s="130" t="s">
        <v>2283</v>
      </c>
    </row>
    <row r="470" s="4" customFormat="1" ht="26.25" customHeight="1" spans="1:23">
      <c r="A470" s="117">
        <v>301010</v>
      </c>
      <c r="B470" s="29" t="s">
        <v>1868</v>
      </c>
      <c r="C470" s="118" t="s">
        <v>1857</v>
      </c>
      <c r="D470" s="119" t="s">
        <v>1858</v>
      </c>
      <c r="E470" s="30" t="s">
        <v>3077</v>
      </c>
      <c r="F470" s="32" t="s">
        <v>1025</v>
      </c>
      <c r="G470" s="33">
        <f t="shared" si="178"/>
        <v>24</v>
      </c>
      <c r="H470" s="33">
        <v>24</v>
      </c>
      <c r="I470" s="33"/>
      <c r="J470" s="33"/>
      <c r="K470" s="33"/>
      <c r="L470" s="33"/>
      <c r="M470" s="54">
        <f t="shared" si="179"/>
        <v>0</v>
      </c>
      <c r="N470" s="54"/>
      <c r="O470" s="54"/>
      <c r="P470" s="54"/>
      <c r="Q470" s="68">
        <f t="shared" si="180"/>
        <v>0</v>
      </c>
      <c r="R470" s="68"/>
      <c r="S470" s="68"/>
      <c r="T470" s="68"/>
      <c r="U470" s="129">
        <v>5</v>
      </c>
      <c r="V470" s="33">
        <f t="shared" si="181"/>
        <v>19</v>
      </c>
      <c r="W470" s="130" t="s">
        <v>2283</v>
      </c>
    </row>
    <row r="471" s="4" customFormat="1" ht="26.25" customHeight="1" spans="1:23">
      <c r="A471" s="117">
        <v>301010</v>
      </c>
      <c r="B471" s="29" t="s">
        <v>1868</v>
      </c>
      <c r="C471" s="118" t="s">
        <v>1857</v>
      </c>
      <c r="D471" s="82" t="s">
        <v>1858</v>
      </c>
      <c r="E471" s="30" t="s">
        <v>3077</v>
      </c>
      <c r="F471" s="32" t="s">
        <v>1025</v>
      </c>
      <c r="G471" s="33">
        <f t="shared" si="178"/>
        <v>0</v>
      </c>
      <c r="H471" s="33"/>
      <c r="I471" s="33"/>
      <c r="J471" s="33"/>
      <c r="K471" s="33"/>
      <c r="L471" s="33"/>
      <c r="M471" s="54">
        <f t="shared" si="179"/>
        <v>5</v>
      </c>
      <c r="N471" s="54"/>
      <c r="O471" s="54">
        <v>5</v>
      </c>
      <c r="P471" s="54"/>
      <c r="Q471" s="68">
        <f t="shared" si="180"/>
        <v>0</v>
      </c>
      <c r="R471" s="68"/>
      <c r="S471" s="68"/>
      <c r="T471" s="68"/>
      <c r="U471" s="129"/>
      <c r="V471" s="54">
        <f t="shared" si="181"/>
        <v>5</v>
      </c>
      <c r="W471" s="92" t="s">
        <v>560</v>
      </c>
    </row>
    <row r="472" s="4" customFormat="1" ht="26.25" customHeight="1" spans="1:23">
      <c r="A472" s="117">
        <v>301010</v>
      </c>
      <c r="B472" s="29" t="s">
        <v>1868</v>
      </c>
      <c r="C472" s="118" t="s">
        <v>1857</v>
      </c>
      <c r="D472" s="119" t="s">
        <v>1858</v>
      </c>
      <c r="E472" s="30" t="s">
        <v>3078</v>
      </c>
      <c r="F472" s="32" t="s">
        <v>3069</v>
      </c>
      <c r="G472" s="33">
        <f t="shared" si="178"/>
        <v>4.5</v>
      </c>
      <c r="H472" s="33">
        <v>4.5</v>
      </c>
      <c r="I472" s="33"/>
      <c r="J472" s="33"/>
      <c r="K472" s="33"/>
      <c r="L472" s="33"/>
      <c r="M472" s="54">
        <f t="shared" si="179"/>
        <v>0</v>
      </c>
      <c r="N472" s="54"/>
      <c r="O472" s="54"/>
      <c r="P472" s="54"/>
      <c r="Q472" s="68">
        <f t="shared" si="180"/>
        <v>0</v>
      </c>
      <c r="R472" s="68"/>
      <c r="S472" s="68"/>
      <c r="T472" s="68"/>
      <c r="U472" s="129"/>
      <c r="V472" s="33">
        <f t="shared" si="181"/>
        <v>4.5</v>
      </c>
      <c r="W472" s="130" t="s">
        <v>2283</v>
      </c>
    </row>
    <row r="473" s="4" customFormat="1" ht="26.25" customHeight="1" spans="1:23">
      <c r="A473" s="117">
        <v>301010</v>
      </c>
      <c r="B473" s="29" t="s">
        <v>1868</v>
      </c>
      <c r="C473" s="118" t="s">
        <v>1857</v>
      </c>
      <c r="D473" s="29" t="s">
        <v>1858</v>
      </c>
      <c r="E473" s="30" t="s">
        <v>3079</v>
      </c>
      <c r="F473" s="32" t="s">
        <v>1019</v>
      </c>
      <c r="G473" s="33">
        <f t="shared" si="178"/>
        <v>5</v>
      </c>
      <c r="H473" s="33"/>
      <c r="I473" s="33">
        <v>5</v>
      </c>
      <c r="J473" s="33"/>
      <c r="K473" s="33"/>
      <c r="L473" s="33"/>
      <c r="M473" s="54">
        <f t="shared" si="179"/>
        <v>0</v>
      </c>
      <c r="N473" s="54"/>
      <c r="O473" s="54"/>
      <c r="P473" s="54"/>
      <c r="Q473" s="68">
        <f t="shared" si="180"/>
        <v>0</v>
      </c>
      <c r="R473" s="68"/>
      <c r="S473" s="68"/>
      <c r="T473" s="68"/>
      <c r="U473" s="129">
        <v>0</v>
      </c>
      <c r="V473" s="33">
        <f t="shared" si="181"/>
        <v>5</v>
      </c>
      <c r="W473" s="130" t="s">
        <v>2283</v>
      </c>
    </row>
    <row r="474" s="4" customFormat="1" ht="26.25" customHeight="1" spans="1:23">
      <c r="A474" s="117">
        <v>301010</v>
      </c>
      <c r="B474" s="29" t="s">
        <v>1868</v>
      </c>
      <c r="C474" s="118" t="s">
        <v>1857</v>
      </c>
      <c r="D474" s="135" t="s">
        <v>1858</v>
      </c>
      <c r="E474" s="37" t="s">
        <v>3080</v>
      </c>
      <c r="F474" s="48" t="s">
        <v>1023</v>
      </c>
      <c r="G474" s="33">
        <f t="shared" si="178"/>
        <v>27.62</v>
      </c>
      <c r="H474" s="33">
        <v>27.62</v>
      </c>
      <c r="I474" s="33"/>
      <c r="J474" s="33"/>
      <c r="K474" s="33"/>
      <c r="L474" s="33"/>
      <c r="M474" s="54">
        <f t="shared" si="179"/>
        <v>0</v>
      </c>
      <c r="N474" s="54"/>
      <c r="O474" s="54"/>
      <c r="P474" s="54"/>
      <c r="Q474" s="68">
        <f t="shared" si="180"/>
        <v>0</v>
      </c>
      <c r="R474" s="68"/>
      <c r="S474" s="68"/>
      <c r="T474" s="68"/>
      <c r="U474" s="129">
        <v>0</v>
      </c>
      <c r="V474" s="33">
        <f t="shared" si="181"/>
        <v>27.62</v>
      </c>
      <c r="W474" s="130" t="s">
        <v>2283</v>
      </c>
    </row>
    <row r="475" s="4" customFormat="1" ht="26.25" customHeight="1" spans="1:23">
      <c r="A475" s="117">
        <v>301010</v>
      </c>
      <c r="B475" s="29" t="s">
        <v>1868</v>
      </c>
      <c r="C475" s="118" t="s">
        <v>1857</v>
      </c>
      <c r="D475" s="86" t="s">
        <v>1858</v>
      </c>
      <c r="E475" s="121" t="s">
        <v>3081</v>
      </c>
      <c r="F475" s="38" t="s">
        <v>3082</v>
      </c>
      <c r="G475" s="33">
        <f t="shared" si="178"/>
        <v>0</v>
      </c>
      <c r="H475" s="33"/>
      <c r="I475" s="33"/>
      <c r="J475" s="33"/>
      <c r="K475" s="33"/>
      <c r="L475" s="33"/>
      <c r="M475" s="54">
        <f t="shared" si="179"/>
        <v>0</v>
      </c>
      <c r="N475" s="54"/>
      <c r="O475" s="54"/>
      <c r="P475" s="54"/>
      <c r="Q475" s="68">
        <f t="shared" si="180"/>
        <v>30</v>
      </c>
      <c r="R475" s="68"/>
      <c r="S475" s="68">
        <v>30</v>
      </c>
      <c r="T475" s="68"/>
      <c r="U475" s="129"/>
      <c r="V475" s="68">
        <f t="shared" si="181"/>
        <v>30</v>
      </c>
      <c r="W475" s="91" t="s">
        <v>3083</v>
      </c>
    </row>
    <row r="476" s="4" customFormat="1" ht="26.25" customHeight="1" spans="1:23">
      <c r="A476" s="117">
        <v>301010</v>
      </c>
      <c r="B476" s="29" t="s">
        <v>1868</v>
      </c>
      <c r="C476" s="118" t="s">
        <v>1857</v>
      </c>
      <c r="D476" s="120" t="s">
        <v>1858</v>
      </c>
      <c r="E476" s="37" t="s">
        <v>3084</v>
      </c>
      <c r="F476" s="32" t="s">
        <v>3071</v>
      </c>
      <c r="G476" s="33">
        <f t="shared" si="178"/>
        <v>32.6</v>
      </c>
      <c r="H476" s="33">
        <v>32.6</v>
      </c>
      <c r="I476" s="33"/>
      <c r="J476" s="33"/>
      <c r="K476" s="33"/>
      <c r="L476" s="33"/>
      <c r="M476" s="54">
        <f t="shared" si="179"/>
        <v>0</v>
      </c>
      <c r="N476" s="54"/>
      <c r="O476" s="54"/>
      <c r="P476" s="54"/>
      <c r="Q476" s="68">
        <f t="shared" si="180"/>
        <v>0</v>
      </c>
      <c r="R476" s="68"/>
      <c r="S476" s="68"/>
      <c r="T476" s="68"/>
      <c r="U476" s="129"/>
      <c r="V476" s="70">
        <f t="shared" si="181"/>
        <v>32.6</v>
      </c>
      <c r="W476" s="130" t="s">
        <v>2283</v>
      </c>
    </row>
    <row r="477" s="4" customFormat="1" ht="26.25" customHeight="1" spans="1:23">
      <c r="A477" s="117">
        <v>301010</v>
      </c>
      <c r="B477" s="29" t="s">
        <v>1868</v>
      </c>
      <c r="C477" s="118" t="s">
        <v>1857</v>
      </c>
      <c r="D477" s="82" t="s">
        <v>1858</v>
      </c>
      <c r="E477" s="37" t="s">
        <v>3085</v>
      </c>
      <c r="F477" s="48" t="s">
        <v>3029</v>
      </c>
      <c r="G477" s="33">
        <f t="shared" si="178"/>
        <v>203</v>
      </c>
      <c r="H477" s="33"/>
      <c r="I477" s="33"/>
      <c r="J477" s="33">
        <v>203</v>
      </c>
      <c r="K477" s="33"/>
      <c r="L477" s="33"/>
      <c r="M477" s="54">
        <f t="shared" si="179"/>
        <v>4.53</v>
      </c>
      <c r="N477" s="54">
        <v>-203</v>
      </c>
      <c r="O477" s="54">
        <v>207.53</v>
      </c>
      <c r="P477" s="54"/>
      <c r="Q477" s="68">
        <f t="shared" si="180"/>
        <v>0</v>
      </c>
      <c r="R477" s="68"/>
      <c r="S477" s="68"/>
      <c r="T477" s="68"/>
      <c r="U477" s="129"/>
      <c r="V477" s="54">
        <f t="shared" si="181"/>
        <v>207.53</v>
      </c>
      <c r="W477" s="92" t="s">
        <v>481</v>
      </c>
    </row>
    <row r="478" s="4" customFormat="1" ht="26.25" customHeight="1" spans="1:23">
      <c r="A478" s="117">
        <v>301010</v>
      </c>
      <c r="B478" s="29" t="s">
        <v>1868</v>
      </c>
      <c r="C478" s="118" t="s">
        <v>1857</v>
      </c>
      <c r="D478" s="82" t="s">
        <v>1858</v>
      </c>
      <c r="E478" s="37" t="s">
        <v>3085</v>
      </c>
      <c r="F478" s="32" t="s">
        <v>3029</v>
      </c>
      <c r="G478" s="33">
        <f t="shared" si="178"/>
        <v>0</v>
      </c>
      <c r="H478" s="33"/>
      <c r="I478" s="33"/>
      <c r="J478" s="33"/>
      <c r="K478" s="33"/>
      <c r="L478" s="33"/>
      <c r="M478" s="54">
        <f t="shared" si="179"/>
        <v>4.862</v>
      </c>
      <c r="N478" s="54"/>
      <c r="O478" s="54">
        <v>4.862</v>
      </c>
      <c r="P478" s="54"/>
      <c r="Q478" s="68">
        <f t="shared" si="180"/>
        <v>0</v>
      </c>
      <c r="R478" s="68"/>
      <c r="S478" s="68"/>
      <c r="T478" s="68"/>
      <c r="U478" s="129"/>
      <c r="V478" s="54">
        <f t="shared" si="181"/>
        <v>4.862</v>
      </c>
      <c r="W478" s="92" t="s">
        <v>643</v>
      </c>
    </row>
    <row r="479" s="4" customFormat="1" ht="26.25" customHeight="1" spans="1:23">
      <c r="A479" s="115">
        <v>301011</v>
      </c>
      <c r="B479" s="23" t="s">
        <v>1350</v>
      </c>
      <c r="C479" s="116"/>
      <c r="D479" s="116"/>
      <c r="E479" s="84"/>
      <c r="F479" s="26"/>
      <c r="G479" s="27">
        <f t="shared" ref="G479:V479" si="182">SUM(G480:G485)</f>
        <v>1403.23</v>
      </c>
      <c r="H479" s="27">
        <f t="shared" si="182"/>
        <v>1013.23</v>
      </c>
      <c r="I479" s="27">
        <f t="shared" si="182"/>
        <v>390</v>
      </c>
      <c r="J479" s="27">
        <f t="shared" si="182"/>
        <v>0</v>
      </c>
      <c r="K479" s="27">
        <f t="shared" si="182"/>
        <v>0</v>
      </c>
      <c r="L479" s="27">
        <f t="shared" si="182"/>
        <v>0</v>
      </c>
      <c r="M479" s="27">
        <f t="shared" si="182"/>
        <v>0</v>
      </c>
      <c r="N479" s="27">
        <f t="shared" si="182"/>
        <v>0</v>
      </c>
      <c r="O479" s="27">
        <f t="shared" si="182"/>
        <v>0</v>
      </c>
      <c r="P479" s="27">
        <f t="shared" si="182"/>
        <v>0</v>
      </c>
      <c r="Q479" s="27">
        <f t="shared" si="182"/>
        <v>0</v>
      </c>
      <c r="R479" s="27">
        <f t="shared" si="182"/>
        <v>0</v>
      </c>
      <c r="S479" s="27">
        <f t="shared" si="182"/>
        <v>0</v>
      </c>
      <c r="T479" s="27">
        <f t="shared" si="182"/>
        <v>0</v>
      </c>
      <c r="U479" s="27">
        <f t="shared" si="182"/>
        <v>155.4</v>
      </c>
      <c r="V479" s="27">
        <f t="shared" si="182"/>
        <v>1247.83</v>
      </c>
      <c r="W479" s="67"/>
    </row>
    <row r="480" s="4" customFormat="1" ht="26.25" customHeight="1" spans="1:23">
      <c r="A480" s="117">
        <v>301011</v>
      </c>
      <c r="B480" s="29" t="s">
        <v>1878</v>
      </c>
      <c r="C480" s="118" t="s">
        <v>2993</v>
      </c>
      <c r="D480" s="29" t="s">
        <v>2994</v>
      </c>
      <c r="E480" s="30" t="s">
        <v>3086</v>
      </c>
      <c r="F480" s="32" t="s">
        <v>1022</v>
      </c>
      <c r="G480" s="33">
        <f t="shared" ref="G480:G485" si="183">SUM(H480:J480)</f>
        <v>390</v>
      </c>
      <c r="H480" s="33"/>
      <c r="I480" s="33">
        <v>390</v>
      </c>
      <c r="J480" s="33"/>
      <c r="K480" s="33"/>
      <c r="L480" s="33"/>
      <c r="M480" s="54">
        <f t="shared" ref="M480:M485" si="184">N480+O480-P480</f>
        <v>0</v>
      </c>
      <c r="N480" s="54"/>
      <c r="O480" s="54"/>
      <c r="P480" s="54"/>
      <c r="Q480" s="68">
        <f t="shared" ref="Q480:Q485" si="185">R480+S480-T480</f>
        <v>0</v>
      </c>
      <c r="R480" s="68"/>
      <c r="S480" s="68"/>
      <c r="T480" s="68"/>
      <c r="U480" s="129">
        <v>150</v>
      </c>
      <c r="V480" s="33">
        <f t="shared" ref="V480:V485" si="186">G480+K480+L480+M480+Q480-U480</f>
        <v>240</v>
      </c>
      <c r="W480" s="130" t="s">
        <v>2283</v>
      </c>
    </row>
    <row r="481" s="4" customFormat="1" ht="26.25" customHeight="1" spans="1:23">
      <c r="A481" s="117">
        <v>301011</v>
      </c>
      <c r="B481" s="29" t="s">
        <v>1878</v>
      </c>
      <c r="C481" s="118" t="s">
        <v>2993</v>
      </c>
      <c r="D481" s="135" t="s">
        <v>2994</v>
      </c>
      <c r="E481" s="37" t="s">
        <v>3087</v>
      </c>
      <c r="F481" s="32" t="s">
        <v>888</v>
      </c>
      <c r="G481" s="33">
        <f t="shared" si="183"/>
        <v>56.55</v>
      </c>
      <c r="H481" s="33">
        <v>56.55</v>
      </c>
      <c r="I481" s="33"/>
      <c r="J481" s="33"/>
      <c r="K481" s="33"/>
      <c r="L481" s="33"/>
      <c r="M481" s="54">
        <f t="shared" si="184"/>
        <v>0</v>
      </c>
      <c r="N481" s="54"/>
      <c r="O481" s="54"/>
      <c r="P481" s="54"/>
      <c r="Q481" s="68">
        <f t="shared" si="185"/>
        <v>0</v>
      </c>
      <c r="R481" s="68"/>
      <c r="S481" s="68"/>
      <c r="T481" s="68"/>
      <c r="U481" s="129">
        <v>5.4</v>
      </c>
      <c r="V481" s="33">
        <f t="shared" si="186"/>
        <v>51.15</v>
      </c>
      <c r="W481" s="130" t="s">
        <v>2283</v>
      </c>
    </row>
    <row r="482" s="4" customFormat="1" ht="26.25" customHeight="1" spans="1:23">
      <c r="A482" s="117">
        <v>301011</v>
      </c>
      <c r="B482" s="29" t="s">
        <v>1878</v>
      </c>
      <c r="C482" s="118" t="s">
        <v>1857</v>
      </c>
      <c r="D482" s="135" t="s">
        <v>1858</v>
      </c>
      <c r="E482" s="37" t="s">
        <v>3088</v>
      </c>
      <c r="F482" s="48" t="s">
        <v>1023</v>
      </c>
      <c r="G482" s="33">
        <f t="shared" si="183"/>
        <v>258.31</v>
      </c>
      <c r="H482" s="33">
        <v>258.31</v>
      </c>
      <c r="I482" s="33"/>
      <c r="J482" s="33"/>
      <c r="K482" s="33"/>
      <c r="L482" s="33"/>
      <c r="M482" s="54">
        <f t="shared" si="184"/>
        <v>0</v>
      </c>
      <c r="N482" s="54"/>
      <c r="O482" s="54"/>
      <c r="P482" s="54"/>
      <c r="Q482" s="68">
        <f t="shared" si="185"/>
        <v>0</v>
      </c>
      <c r="R482" s="68"/>
      <c r="S482" s="68"/>
      <c r="T482" s="68"/>
      <c r="U482" s="129"/>
      <c r="V482" s="33">
        <f t="shared" si="186"/>
        <v>258.31</v>
      </c>
      <c r="W482" s="130" t="s">
        <v>2283</v>
      </c>
    </row>
    <row r="483" s="4" customFormat="1" ht="26.25" customHeight="1" spans="1:23">
      <c r="A483" s="117">
        <v>301011</v>
      </c>
      <c r="B483" s="29" t="s">
        <v>1878</v>
      </c>
      <c r="C483" s="118" t="s">
        <v>1857</v>
      </c>
      <c r="D483" s="119" t="s">
        <v>1858</v>
      </c>
      <c r="E483" s="30" t="s">
        <v>3089</v>
      </c>
      <c r="F483" s="32" t="s">
        <v>3069</v>
      </c>
      <c r="G483" s="33">
        <f t="shared" si="183"/>
        <v>7</v>
      </c>
      <c r="H483" s="33">
        <v>7</v>
      </c>
      <c r="I483" s="33"/>
      <c r="J483" s="33"/>
      <c r="K483" s="33"/>
      <c r="L483" s="33"/>
      <c r="M483" s="54">
        <f t="shared" si="184"/>
        <v>0</v>
      </c>
      <c r="N483" s="54"/>
      <c r="O483" s="54"/>
      <c r="P483" s="54"/>
      <c r="Q483" s="68">
        <f t="shared" si="185"/>
        <v>0</v>
      </c>
      <c r="R483" s="68"/>
      <c r="S483" s="68"/>
      <c r="T483" s="68"/>
      <c r="U483" s="129"/>
      <c r="V483" s="33">
        <f t="shared" si="186"/>
        <v>7</v>
      </c>
      <c r="W483" s="130" t="s">
        <v>2283</v>
      </c>
    </row>
    <row r="484" s="4" customFormat="1" ht="26.25" customHeight="1" spans="1:23">
      <c r="A484" s="117">
        <v>301011</v>
      </c>
      <c r="B484" s="29" t="s">
        <v>1878</v>
      </c>
      <c r="C484" s="118" t="s">
        <v>1857</v>
      </c>
      <c r="D484" s="120" t="s">
        <v>1858</v>
      </c>
      <c r="E484" s="37" t="s">
        <v>3090</v>
      </c>
      <c r="F484" s="32" t="s">
        <v>1030</v>
      </c>
      <c r="G484" s="33">
        <f t="shared" si="183"/>
        <v>557.6</v>
      </c>
      <c r="H484" s="33">
        <v>557.6</v>
      </c>
      <c r="I484" s="33"/>
      <c r="J484" s="33"/>
      <c r="K484" s="33"/>
      <c r="L484" s="33"/>
      <c r="M484" s="54">
        <f t="shared" si="184"/>
        <v>0</v>
      </c>
      <c r="N484" s="54"/>
      <c r="O484" s="54"/>
      <c r="P484" s="54"/>
      <c r="Q484" s="68">
        <f t="shared" si="185"/>
        <v>0</v>
      </c>
      <c r="R484" s="68"/>
      <c r="S484" s="68"/>
      <c r="T484" s="68"/>
      <c r="U484" s="129"/>
      <c r="V484" s="70">
        <f t="shared" si="186"/>
        <v>557.6</v>
      </c>
      <c r="W484" s="130" t="s">
        <v>2283</v>
      </c>
    </row>
    <row r="485" s="4" customFormat="1" ht="26.25" customHeight="1" spans="1:23">
      <c r="A485" s="117">
        <v>301011</v>
      </c>
      <c r="B485" s="29" t="s">
        <v>1878</v>
      </c>
      <c r="C485" s="118" t="s">
        <v>1857</v>
      </c>
      <c r="D485" s="120" t="s">
        <v>1858</v>
      </c>
      <c r="E485" s="37" t="s">
        <v>3091</v>
      </c>
      <c r="F485" s="32" t="s">
        <v>3055</v>
      </c>
      <c r="G485" s="33">
        <f t="shared" si="183"/>
        <v>133.77</v>
      </c>
      <c r="H485" s="33">
        <v>133.77</v>
      </c>
      <c r="I485" s="33"/>
      <c r="J485" s="33"/>
      <c r="K485" s="33"/>
      <c r="L485" s="33"/>
      <c r="M485" s="54">
        <f t="shared" si="184"/>
        <v>0</v>
      </c>
      <c r="N485" s="54"/>
      <c r="O485" s="54"/>
      <c r="P485" s="54"/>
      <c r="Q485" s="68">
        <f t="shared" si="185"/>
        <v>0</v>
      </c>
      <c r="R485" s="68"/>
      <c r="S485" s="68"/>
      <c r="T485" s="68"/>
      <c r="U485" s="129"/>
      <c r="V485" s="70">
        <f t="shared" si="186"/>
        <v>133.77</v>
      </c>
      <c r="W485" s="130" t="s">
        <v>2283</v>
      </c>
    </row>
    <row r="486" s="4" customFormat="1" ht="26.25" customHeight="1" spans="1:23">
      <c r="A486" s="115">
        <v>301012</v>
      </c>
      <c r="B486" s="23" t="s">
        <v>1352</v>
      </c>
      <c r="C486" s="116"/>
      <c r="D486" s="116"/>
      <c r="E486" s="84"/>
      <c r="F486" s="26"/>
      <c r="G486" s="27">
        <f t="shared" ref="G486:V486" si="187">SUM(G487:G493)</f>
        <v>1417.86</v>
      </c>
      <c r="H486" s="27">
        <f t="shared" si="187"/>
        <v>1117.86</v>
      </c>
      <c r="I486" s="27">
        <f t="shared" si="187"/>
        <v>300</v>
      </c>
      <c r="J486" s="27">
        <f t="shared" si="187"/>
        <v>0</v>
      </c>
      <c r="K486" s="27">
        <f t="shared" si="187"/>
        <v>0</v>
      </c>
      <c r="L486" s="27">
        <f t="shared" si="187"/>
        <v>0</v>
      </c>
      <c r="M486" s="27">
        <f t="shared" si="187"/>
        <v>0</v>
      </c>
      <c r="N486" s="27">
        <f t="shared" si="187"/>
        <v>0</v>
      </c>
      <c r="O486" s="27">
        <f t="shared" si="187"/>
        <v>0</v>
      </c>
      <c r="P486" s="27">
        <f t="shared" si="187"/>
        <v>0</v>
      </c>
      <c r="Q486" s="27">
        <f t="shared" si="187"/>
        <v>0</v>
      </c>
      <c r="R486" s="27">
        <f t="shared" si="187"/>
        <v>0</v>
      </c>
      <c r="S486" s="27">
        <f t="shared" si="187"/>
        <v>0</v>
      </c>
      <c r="T486" s="27">
        <f t="shared" si="187"/>
        <v>0</v>
      </c>
      <c r="U486" s="27">
        <f t="shared" si="187"/>
        <v>88</v>
      </c>
      <c r="V486" s="27">
        <f t="shared" si="187"/>
        <v>1329.86</v>
      </c>
      <c r="W486" s="67"/>
    </row>
    <row r="487" s="4" customFormat="1" ht="26.25" customHeight="1" spans="1:23">
      <c r="A487" s="117">
        <v>301012</v>
      </c>
      <c r="B487" s="29" t="s">
        <v>1888</v>
      </c>
      <c r="C487" s="118" t="s">
        <v>2993</v>
      </c>
      <c r="D487" s="135" t="s">
        <v>2994</v>
      </c>
      <c r="E487" s="37" t="s">
        <v>3092</v>
      </c>
      <c r="F487" s="32" t="s">
        <v>888</v>
      </c>
      <c r="G487" s="33">
        <f t="shared" ref="G487:G493" si="188">SUM(H487:J487)</f>
        <v>51.2</v>
      </c>
      <c r="H487" s="33">
        <v>51.2</v>
      </c>
      <c r="I487" s="33"/>
      <c r="J487" s="33"/>
      <c r="K487" s="33"/>
      <c r="L487" s="33"/>
      <c r="M487" s="54">
        <f t="shared" ref="M487:M493" si="189">N487+O487-P487</f>
        <v>0</v>
      </c>
      <c r="N487" s="54"/>
      <c r="O487" s="54"/>
      <c r="P487" s="54"/>
      <c r="Q487" s="68">
        <f t="shared" ref="Q487:Q493" si="190">R487+S487-T487</f>
        <v>0</v>
      </c>
      <c r="R487" s="68"/>
      <c r="S487" s="68"/>
      <c r="T487" s="68"/>
      <c r="U487" s="129">
        <v>5</v>
      </c>
      <c r="V487" s="33">
        <f t="shared" ref="V487:V493" si="191">G487+K487+L487+M487+Q487-U487</f>
        <v>46.2</v>
      </c>
      <c r="W487" s="130" t="s">
        <v>2283</v>
      </c>
    </row>
    <row r="488" s="4" customFormat="1" ht="26.25" customHeight="1" spans="1:23">
      <c r="A488" s="117">
        <v>301012</v>
      </c>
      <c r="B488" s="29" t="s">
        <v>1888</v>
      </c>
      <c r="C488" s="118" t="s">
        <v>2993</v>
      </c>
      <c r="D488" s="29" t="s">
        <v>2994</v>
      </c>
      <c r="E488" s="30" t="s">
        <v>3093</v>
      </c>
      <c r="F488" s="32" t="s">
        <v>1022</v>
      </c>
      <c r="G488" s="33">
        <f t="shared" si="188"/>
        <v>300</v>
      </c>
      <c r="H488" s="33"/>
      <c r="I488" s="33">
        <v>300</v>
      </c>
      <c r="J488" s="33"/>
      <c r="K488" s="33"/>
      <c r="L488" s="33"/>
      <c r="M488" s="54">
        <f t="shared" si="189"/>
        <v>0</v>
      </c>
      <c r="N488" s="54"/>
      <c r="O488" s="54"/>
      <c r="P488" s="54"/>
      <c r="Q488" s="68">
        <f t="shared" si="190"/>
        <v>0</v>
      </c>
      <c r="R488" s="68"/>
      <c r="S488" s="68"/>
      <c r="T488" s="68"/>
      <c r="U488" s="129">
        <v>60</v>
      </c>
      <c r="V488" s="33">
        <f t="shared" si="191"/>
        <v>240</v>
      </c>
      <c r="W488" s="130" t="s">
        <v>2283</v>
      </c>
    </row>
    <row r="489" s="4" customFormat="1" ht="26.25" customHeight="1" spans="1:23">
      <c r="A489" s="117">
        <v>301012</v>
      </c>
      <c r="B489" s="29" t="s">
        <v>1888</v>
      </c>
      <c r="C489" s="118" t="s">
        <v>1857</v>
      </c>
      <c r="D489" s="135" t="s">
        <v>1858</v>
      </c>
      <c r="E489" s="37" t="s">
        <v>3094</v>
      </c>
      <c r="F489" s="48" t="s">
        <v>1028</v>
      </c>
      <c r="G489" s="33">
        <f t="shared" si="188"/>
        <v>22</v>
      </c>
      <c r="H489" s="33">
        <v>22</v>
      </c>
      <c r="I489" s="33"/>
      <c r="J489" s="33"/>
      <c r="K489" s="33"/>
      <c r="L489" s="33"/>
      <c r="M489" s="54">
        <f t="shared" si="189"/>
        <v>0</v>
      </c>
      <c r="N489" s="54"/>
      <c r="O489" s="54"/>
      <c r="P489" s="54"/>
      <c r="Q489" s="68">
        <f t="shared" si="190"/>
        <v>0</v>
      </c>
      <c r="R489" s="68"/>
      <c r="S489" s="68"/>
      <c r="T489" s="68"/>
      <c r="U489" s="129">
        <v>4</v>
      </c>
      <c r="V489" s="33">
        <f t="shared" si="191"/>
        <v>18</v>
      </c>
      <c r="W489" s="130" t="s">
        <v>2283</v>
      </c>
    </row>
    <row r="490" s="4" customFormat="1" ht="26.25" customHeight="1" spans="1:23">
      <c r="A490" s="117">
        <v>301012</v>
      </c>
      <c r="B490" s="29" t="s">
        <v>1888</v>
      </c>
      <c r="C490" s="118" t="s">
        <v>1857</v>
      </c>
      <c r="D490" s="135" t="s">
        <v>1858</v>
      </c>
      <c r="E490" s="37" t="s">
        <v>3095</v>
      </c>
      <c r="F490" s="48" t="s">
        <v>1023</v>
      </c>
      <c r="G490" s="33">
        <f t="shared" si="188"/>
        <v>225.56</v>
      </c>
      <c r="H490" s="33">
        <v>225.56</v>
      </c>
      <c r="I490" s="33"/>
      <c r="J490" s="33"/>
      <c r="K490" s="33"/>
      <c r="L490" s="33"/>
      <c r="M490" s="54">
        <f t="shared" si="189"/>
        <v>0</v>
      </c>
      <c r="N490" s="54"/>
      <c r="O490" s="54"/>
      <c r="P490" s="54"/>
      <c r="Q490" s="68">
        <f t="shared" si="190"/>
        <v>0</v>
      </c>
      <c r="R490" s="68"/>
      <c r="S490" s="68"/>
      <c r="T490" s="68"/>
      <c r="U490" s="129">
        <v>19</v>
      </c>
      <c r="V490" s="33">
        <f t="shared" si="191"/>
        <v>206.56</v>
      </c>
      <c r="W490" s="130" t="s">
        <v>2283</v>
      </c>
    </row>
    <row r="491" s="4" customFormat="1" ht="26.25" customHeight="1" spans="1:23">
      <c r="A491" s="117">
        <v>301012</v>
      </c>
      <c r="B491" s="29" t="s">
        <v>1888</v>
      </c>
      <c r="C491" s="118" t="s">
        <v>1857</v>
      </c>
      <c r="D491" s="119" t="s">
        <v>1858</v>
      </c>
      <c r="E491" s="30" t="s">
        <v>3096</v>
      </c>
      <c r="F491" s="32" t="s">
        <v>3069</v>
      </c>
      <c r="G491" s="33">
        <f t="shared" si="188"/>
        <v>7</v>
      </c>
      <c r="H491" s="33">
        <v>7</v>
      </c>
      <c r="I491" s="33"/>
      <c r="J491" s="33"/>
      <c r="K491" s="33"/>
      <c r="L491" s="33"/>
      <c r="M491" s="54">
        <f t="shared" si="189"/>
        <v>0</v>
      </c>
      <c r="N491" s="54"/>
      <c r="O491" s="54"/>
      <c r="P491" s="54"/>
      <c r="Q491" s="68">
        <f t="shared" si="190"/>
        <v>0</v>
      </c>
      <c r="R491" s="68"/>
      <c r="S491" s="68"/>
      <c r="T491" s="68"/>
      <c r="U491" s="129"/>
      <c r="V491" s="33">
        <f t="shared" si="191"/>
        <v>7</v>
      </c>
      <c r="W491" s="130" t="s">
        <v>2283</v>
      </c>
    </row>
    <row r="492" s="4" customFormat="1" ht="26.25" customHeight="1" spans="1:23">
      <c r="A492" s="117">
        <v>301012</v>
      </c>
      <c r="B492" s="29" t="s">
        <v>1888</v>
      </c>
      <c r="C492" s="118" t="s">
        <v>1857</v>
      </c>
      <c r="D492" s="120" t="s">
        <v>1858</v>
      </c>
      <c r="E492" s="37" t="s">
        <v>3097</v>
      </c>
      <c r="F492" s="32" t="s">
        <v>1030</v>
      </c>
      <c r="G492" s="33">
        <f t="shared" si="188"/>
        <v>533.5</v>
      </c>
      <c r="H492" s="33">
        <v>533.5</v>
      </c>
      <c r="I492" s="33"/>
      <c r="J492" s="33"/>
      <c r="K492" s="33"/>
      <c r="L492" s="33"/>
      <c r="M492" s="54">
        <f t="shared" si="189"/>
        <v>0</v>
      </c>
      <c r="N492" s="54"/>
      <c r="O492" s="54"/>
      <c r="P492" s="54"/>
      <c r="Q492" s="68">
        <f t="shared" si="190"/>
        <v>0</v>
      </c>
      <c r="R492" s="68"/>
      <c r="S492" s="68"/>
      <c r="T492" s="68"/>
      <c r="U492" s="129"/>
      <c r="V492" s="70">
        <f t="shared" si="191"/>
        <v>533.5</v>
      </c>
      <c r="W492" s="130" t="s">
        <v>2283</v>
      </c>
    </row>
    <row r="493" s="4" customFormat="1" ht="26.25" customHeight="1" spans="1:23">
      <c r="A493" s="117">
        <v>301012</v>
      </c>
      <c r="B493" s="29" t="s">
        <v>1888</v>
      </c>
      <c r="C493" s="118" t="s">
        <v>1857</v>
      </c>
      <c r="D493" s="120" t="s">
        <v>1858</v>
      </c>
      <c r="E493" s="37" t="s">
        <v>3098</v>
      </c>
      <c r="F493" s="32" t="s">
        <v>3055</v>
      </c>
      <c r="G493" s="33">
        <f t="shared" si="188"/>
        <v>278.6</v>
      </c>
      <c r="H493" s="33">
        <v>278.6</v>
      </c>
      <c r="I493" s="33"/>
      <c r="J493" s="33"/>
      <c r="K493" s="33"/>
      <c r="L493" s="33"/>
      <c r="M493" s="54">
        <f t="shared" si="189"/>
        <v>0</v>
      </c>
      <c r="N493" s="54"/>
      <c r="O493" s="54"/>
      <c r="P493" s="54"/>
      <c r="Q493" s="68">
        <f t="shared" si="190"/>
        <v>0</v>
      </c>
      <c r="R493" s="68"/>
      <c r="S493" s="68"/>
      <c r="T493" s="68"/>
      <c r="U493" s="129"/>
      <c r="V493" s="70">
        <f t="shared" si="191"/>
        <v>278.6</v>
      </c>
      <c r="W493" s="130" t="s">
        <v>2283</v>
      </c>
    </row>
    <row r="494" s="4" customFormat="1" ht="26.25" customHeight="1" spans="1:23">
      <c r="A494" s="115">
        <v>301013</v>
      </c>
      <c r="B494" s="23" t="s">
        <v>1354</v>
      </c>
      <c r="C494" s="116"/>
      <c r="D494" s="116"/>
      <c r="E494" s="84"/>
      <c r="F494" s="26"/>
      <c r="G494" s="27">
        <f t="shared" ref="G494:V494" si="192">SUM(G495:G497)</f>
        <v>171.58</v>
      </c>
      <c r="H494" s="27">
        <f t="shared" si="192"/>
        <v>171.58</v>
      </c>
      <c r="I494" s="27">
        <f t="shared" si="192"/>
        <v>0</v>
      </c>
      <c r="J494" s="27">
        <f t="shared" si="192"/>
        <v>0</v>
      </c>
      <c r="K494" s="27">
        <f t="shared" si="192"/>
        <v>0</v>
      </c>
      <c r="L494" s="27">
        <f t="shared" si="192"/>
        <v>0</v>
      </c>
      <c r="M494" s="27">
        <f t="shared" si="192"/>
        <v>0</v>
      </c>
      <c r="N494" s="27">
        <f t="shared" si="192"/>
        <v>0</v>
      </c>
      <c r="O494" s="27">
        <f t="shared" si="192"/>
        <v>0</v>
      </c>
      <c r="P494" s="27">
        <f t="shared" si="192"/>
        <v>0</v>
      </c>
      <c r="Q494" s="27">
        <f t="shared" si="192"/>
        <v>0</v>
      </c>
      <c r="R494" s="27">
        <f t="shared" si="192"/>
        <v>0</v>
      </c>
      <c r="S494" s="27">
        <f t="shared" si="192"/>
        <v>0</v>
      </c>
      <c r="T494" s="27">
        <f t="shared" si="192"/>
        <v>0</v>
      </c>
      <c r="U494" s="27">
        <f t="shared" si="192"/>
        <v>55</v>
      </c>
      <c r="V494" s="27">
        <f t="shared" si="192"/>
        <v>116.58</v>
      </c>
      <c r="W494" s="67"/>
    </row>
    <row r="495" s="4" customFormat="1" ht="26.25" customHeight="1" spans="1:23">
      <c r="A495" s="117">
        <v>301013</v>
      </c>
      <c r="B495" s="29" t="s">
        <v>1898</v>
      </c>
      <c r="C495" s="118" t="s">
        <v>1857</v>
      </c>
      <c r="D495" s="120" t="s">
        <v>1858</v>
      </c>
      <c r="E495" s="37" t="s">
        <v>3099</v>
      </c>
      <c r="F495" s="32" t="s">
        <v>1030</v>
      </c>
      <c r="G495" s="33">
        <f t="shared" ref="G495:G497" si="193">SUM(H495:J495)</f>
        <v>141.8</v>
      </c>
      <c r="H495" s="33">
        <v>141.8</v>
      </c>
      <c r="I495" s="33"/>
      <c r="J495" s="33"/>
      <c r="K495" s="33"/>
      <c r="L495" s="33"/>
      <c r="M495" s="54">
        <f t="shared" ref="M495:M497" si="194">N495+O495-P495</f>
        <v>0</v>
      </c>
      <c r="N495" s="54"/>
      <c r="O495" s="54"/>
      <c r="P495" s="54"/>
      <c r="Q495" s="68">
        <f t="shared" ref="Q495:Q497" si="195">R495+S495-T495</f>
        <v>0</v>
      </c>
      <c r="R495" s="68"/>
      <c r="S495" s="68"/>
      <c r="T495" s="68"/>
      <c r="U495" s="129">
        <v>55</v>
      </c>
      <c r="V495" s="70">
        <f t="shared" ref="V495:V497" si="196">G495+K495+L495+M495+Q495-U495</f>
        <v>86.8</v>
      </c>
      <c r="W495" s="130" t="s">
        <v>2283</v>
      </c>
    </row>
    <row r="496" s="4" customFormat="1" ht="26.25" customHeight="1" spans="1:23">
      <c r="A496" s="117">
        <v>301013</v>
      </c>
      <c r="B496" s="29" t="s">
        <v>1898</v>
      </c>
      <c r="C496" s="118" t="s">
        <v>1857</v>
      </c>
      <c r="D496" s="135" t="s">
        <v>1858</v>
      </c>
      <c r="E496" s="37" t="s">
        <v>3100</v>
      </c>
      <c r="F496" s="48" t="s">
        <v>1023</v>
      </c>
      <c r="G496" s="33">
        <f t="shared" si="193"/>
        <v>23.24</v>
      </c>
      <c r="H496" s="33">
        <v>23.24</v>
      </c>
      <c r="I496" s="33"/>
      <c r="J496" s="33"/>
      <c r="K496" s="33"/>
      <c r="L496" s="33"/>
      <c r="M496" s="54">
        <f t="shared" si="194"/>
        <v>0</v>
      </c>
      <c r="N496" s="54"/>
      <c r="O496" s="54"/>
      <c r="P496" s="54"/>
      <c r="Q496" s="68">
        <f t="shared" si="195"/>
        <v>0</v>
      </c>
      <c r="R496" s="68"/>
      <c r="S496" s="68"/>
      <c r="T496" s="68"/>
      <c r="U496" s="129"/>
      <c r="V496" s="33">
        <f t="shared" si="196"/>
        <v>23.24</v>
      </c>
      <c r="W496" s="130" t="s">
        <v>2283</v>
      </c>
    </row>
    <row r="497" s="4" customFormat="1" ht="26.25" customHeight="1" spans="1:23">
      <c r="A497" s="117">
        <v>301013</v>
      </c>
      <c r="B497" s="29" t="s">
        <v>1898</v>
      </c>
      <c r="C497" s="118" t="s">
        <v>1857</v>
      </c>
      <c r="D497" s="135" t="s">
        <v>1858</v>
      </c>
      <c r="E497" s="37" t="s">
        <v>3101</v>
      </c>
      <c r="F497" s="48" t="s">
        <v>1016</v>
      </c>
      <c r="G497" s="33">
        <f t="shared" si="193"/>
        <v>6.54</v>
      </c>
      <c r="H497" s="33">
        <v>6.54</v>
      </c>
      <c r="I497" s="33"/>
      <c r="J497" s="33"/>
      <c r="K497" s="33"/>
      <c r="L497" s="33"/>
      <c r="M497" s="54">
        <f t="shared" si="194"/>
        <v>0</v>
      </c>
      <c r="N497" s="54"/>
      <c r="O497" s="54"/>
      <c r="P497" s="54"/>
      <c r="Q497" s="68">
        <f t="shared" si="195"/>
        <v>0</v>
      </c>
      <c r="R497" s="68"/>
      <c r="S497" s="68"/>
      <c r="T497" s="68"/>
      <c r="U497" s="129"/>
      <c r="V497" s="33">
        <f t="shared" si="196"/>
        <v>6.54</v>
      </c>
      <c r="W497" s="130" t="s">
        <v>2283</v>
      </c>
    </row>
    <row r="498" s="4" customFormat="1" ht="26.25" customHeight="1" spans="1:23">
      <c r="A498" s="115">
        <v>302001</v>
      </c>
      <c r="B498" s="23" t="s">
        <v>3102</v>
      </c>
      <c r="C498" s="116"/>
      <c r="D498" s="116"/>
      <c r="E498" s="84"/>
      <c r="F498" s="26"/>
      <c r="G498" s="27">
        <f t="shared" ref="G498:V498" si="197">SUM(G499:G506)</f>
        <v>122.54</v>
      </c>
      <c r="H498" s="27">
        <f t="shared" si="197"/>
        <v>80.54</v>
      </c>
      <c r="I498" s="27">
        <f t="shared" si="197"/>
        <v>0</v>
      </c>
      <c r="J498" s="27">
        <f t="shared" si="197"/>
        <v>42</v>
      </c>
      <c r="K498" s="27">
        <f t="shared" si="197"/>
        <v>1.2</v>
      </c>
      <c r="L498" s="27">
        <f t="shared" si="197"/>
        <v>0</v>
      </c>
      <c r="M498" s="27">
        <f t="shared" si="197"/>
        <v>-42</v>
      </c>
      <c r="N498" s="27">
        <f t="shared" si="197"/>
        <v>-42</v>
      </c>
      <c r="O498" s="27">
        <f t="shared" si="197"/>
        <v>0</v>
      </c>
      <c r="P498" s="27">
        <f t="shared" si="197"/>
        <v>0</v>
      </c>
      <c r="Q498" s="27">
        <f t="shared" si="197"/>
        <v>101</v>
      </c>
      <c r="R498" s="27">
        <f t="shared" si="197"/>
        <v>0</v>
      </c>
      <c r="S498" s="27">
        <f t="shared" si="197"/>
        <v>101</v>
      </c>
      <c r="T498" s="27">
        <f t="shared" si="197"/>
        <v>0</v>
      </c>
      <c r="U498" s="27">
        <f t="shared" si="197"/>
        <v>24.16</v>
      </c>
      <c r="V498" s="27">
        <f t="shared" si="197"/>
        <v>158.58</v>
      </c>
      <c r="W498" s="67"/>
    </row>
    <row r="499" s="4" customFormat="1" ht="26.25" customHeight="1" spans="1:23">
      <c r="A499" s="117">
        <v>302001</v>
      </c>
      <c r="B499" s="29" t="s">
        <v>3103</v>
      </c>
      <c r="C499" s="35" t="s">
        <v>3104</v>
      </c>
      <c r="D499" s="47" t="s">
        <v>2083</v>
      </c>
      <c r="E499" s="121" t="s">
        <v>3105</v>
      </c>
      <c r="F499" s="35" t="s">
        <v>2317</v>
      </c>
      <c r="G499" s="33">
        <f t="shared" ref="G499:G506" si="198">SUM(H499:J499)</f>
        <v>0</v>
      </c>
      <c r="H499" s="33"/>
      <c r="I499" s="33"/>
      <c r="J499" s="33"/>
      <c r="K499" s="55">
        <v>1.2</v>
      </c>
      <c r="L499" s="33"/>
      <c r="M499" s="54">
        <f t="shared" ref="M499:M506" si="199">N499+O499-P499</f>
        <v>0</v>
      </c>
      <c r="N499" s="54"/>
      <c r="O499" s="54"/>
      <c r="P499" s="54"/>
      <c r="Q499" s="68">
        <f t="shared" ref="Q499:Q506" si="200">R499+S499-T499</f>
        <v>0</v>
      </c>
      <c r="R499" s="68"/>
      <c r="S499" s="68"/>
      <c r="T499" s="68"/>
      <c r="U499" s="129"/>
      <c r="V499" s="33">
        <f t="shared" ref="V499:V506" si="201">G499+K499+L499+M499+Q499-U499</f>
        <v>1.2</v>
      </c>
      <c r="W499" s="130" t="s">
        <v>2283</v>
      </c>
    </row>
    <row r="500" s="4" customFormat="1" ht="26.25" customHeight="1" spans="1:23">
      <c r="A500" s="117">
        <v>302001</v>
      </c>
      <c r="B500" s="29" t="s">
        <v>3103</v>
      </c>
      <c r="C500" s="118" t="s">
        <v>3106</v>
      </c>
      <c r="D500" s="119" t="s">
        <v>3107</v>
      </c>
      <c r="E500" s="37" t="s">
        <v>3108</v>
      </c>
      <c r="F500" s="32" t="s">
        <v>1032</v>
      </c>
      <c r="G500" s="33">
        <f t="shared" si="198"/>
        <v>33.54</v>
      </c>
      <c r="H500" s="33">
        <v>33.54</v>
      </c>
      <c r="I500" s="33"/>
      <c r="J500" s="33"/>
      <c r="K500" s="33"/>
      <c r="L500" s="33"/>
      <c r="M500" s="54">
        <f t="shared" si="199"/>
        <v>0</v>
      </c>
      <c r="N500" s="54"/>
      <c r="O500" s="54"/>
      <c r="P500" s="54"/>
      <c r="Q500" s="68">
        <f t="shared" si="200"/>
        <v>0</v>
      </c>
      <c r="R500" s="68"/>
      <c r="S500" s="68"/>
      <c r="T500" s="68"/>
      <c r="U500" s="129">
        <v>7.64</v>
      </c>
      <c r="V500" s="33">
        <f t="shared" si="201"/>
        <v>25.9</v>
      </c>
      <c r="W500" s="130" t="s">
        <v>2283</v>
      </c>
    </row>
    <row r="501" s="4" customFormat="1" ht="26.25" customHeight="1" spans="1:23">
      <c r="A501" s="117">
        <v>302001</v>
      </c>
      <c r="B501" s="29" t="s">
        <v>3103</v>
      </c>
      <c r="C501" s="118" t="s">
        <v>3106</v>
      </c>
      <c r="D501" s="135" t="s">
        <v>3107</v>
      </c>
      <c r="E501" s="37" t="s">
        <v>3109</v>
      </c>
      <c r="F501" s="48" t="s">
        <v>1033</v>
      </c>
      <c r="G501" s="33">
        <f t="shared" si="198"/>
        <v>12</v>
      </c>
      <c r="H501" s="33">
        <v>12</v>
      </c>
      <c r="I501" s="33"/>
      <c r="J501" s="33"/>
      <c r="K501" s="33"/>
      <c r="L501" s="33"/>
      <c r="M501" s="54">
        <f t="shared" si="199"/>
        <v>0</v>
      </c>
      <c r="N501" s="54"/>
      <c r="O501" s="54"/>
      <c r="P501" s="54"/>
      <c r="Q501" s="68">
        <f t="shared" si="200"/>
        <v>0</v>
      </c>
      <c r="R501" s="68"/>
      <c r="S501" s="68"/>
      <c r="T501" s="68"/>
      <c r="U501" s="129">
        <v>2</v>
      </c>
      <c r="V501" s="33">
        <f t="shared" si="201"/>
        <v>10</v>
      </c>
      <c r="W501" s="130" t="s">
        <v>2283</v>
      </c>
    </row>
    <row r="502" s="4" customFormat="1" ht="26.25" customHeight="1" spans="1:23">
      <c r="A502" s="117">
        <v>302001</v>
      </c>
      <c r="B502" s="29" t="s">
        <v>3103</v>
      </c>
      <c r="C502" s="118" t="s">
        <v>3106</v>
      </c>
      <c r="D502" s="82" t="s">
        <v>3107</v>
      </c>
      <c r="E502" s="37" t="s">
        <v>3110</v>
      </c>
      <c r="F502" s="48" t="s">
        <v>3111</v>
      </c>
      <c r="G502" s="33">
        <f t="shared" si="198"/>
        <v>42</v>
      </c>
      <c r="H502" s="33"/>
      <c r="I502" s="33"/>
      <c r="J502" s="33">
        <v>42</v>
      </c>
      <c r="K502" s="33"/>
      <c r="L502" s="33"/>
      <c r="M502" s="54">
        <f t="shared" si="199"/>
        <v>-42</v>
      </c>
      <c r="N502" s="54">
        <v>-42</v>
      </c>
      <c r="O502" s="54"/>
      <c r="P502" s="54"/>
      <c r="Q502" s="68">
        <f t="shared" si="200"/>
        <v>0</v>
      </c>
      <c r="R502" s="68"/>
      <c r="S502" s="68"/>
      <c r="T502" s="68"/>
      <c r="U502" s="129"/>
      <c r="V502" s="54">
        <f t="shared" si="201"/>
        <v>0</v>
      </c>
      <c r="W502" s="92" t="s">
        <v>2283</v>
      </c>
    </row>
    <row r="503" s="4" customFormat="1" ht="26.25" customHeight="1" spans="1:23">
      <c r="A503" s="117">
        <v>302001</v>
      </c>
      <c r="B503" s="29" t="s">
        <v>3103</v>
      </c>
      <c r="C503" s="118" t="s">
        <v>3112</v>
      </c>
      <c r="D503" s="135" t="s">
        <v>3113</v>
      </c>
      <c r="E503" s="37" t="s">
        <v>3114</v>
      </c>
      <c r="F503" s="32" t="s">
        <v>1034</v>
      </c>
      <c r="G503" s="33">
        <f t="shared" si="198"/>
        <v>25</v>
      </c>
      <c r="H503" s="33">
        <v>25</v>
      </c>
      <c r="I503" s="33"/>
      <c r="J503" s="33"/>
      <c r="K503" s="33"/>
      <c r="L503" s="33"/>
      <c r="M503" s="54">
        <f t="shared" si="199"/>
        <v>0</v>
      </c>
      <c r="N503" s="54"/>
      <c r="O503" s="54"/>
      <c r="P503" s="54"/>
      <c r="Q503" s="68">
        <f t="shared" si="200"/>
        <v>0</v>
      </c>
      <c r="R503" s="68"/>
      <c r="S503" s="68"/>
      <c r="T503" s="68"/>
      <c r="U503" s="129">
        <v>12.52</v>
      </c>
      <c r="V503" s="33">
        <f t="shared" si="201"/>
        <v>12.48</v>
      </c>
      <c r="W503" s="130" t="s">
        <v>2283</v>
      </c>
    </row>
    <row r="504" s="4" customFormat="1" ht="26.25" customHeight="1" spans="1:23">
      <c r="A504" s="117">
        <v>302001</v>
      </c>
      <c r="B504" s="29" t="s">
        <v>3103</v>
      </c>
      <c r="C504" s="118" t="s">
        <v>3112</v>
      </c>
      <c r="D504" s="86" t="s">
        <v>3113</v>
      </c>
      <c r="E504" s="121" t="s">
        <v>3115</v>
      </c>
      <c r="F504" s="38" t="s">
        <v>3116</v>
      </c>
      <c r="G504" s="33">
        <f t="shared" si="198"/>
        <v>0</v>
      </c>
      <c r="H504" s="33"/>
      <c r="I504" s="33"/>
      <c r="J504" s="33"/>
      <c r="K504" s="33"/>
      <c r="L504" s="33"/>
      <c r="M504" s="54">
        <f t="shared" si="199"/>
        <v>0</v>
      </c>
      <c r="N504" s="54"/>
      <c r="O504" s="54"/>
      <c r="P504" s="54"/>
      <c r="Q504" s="68">
        <f t="shared" si="200"/>
        <v>100</v>
      </c>
      <c r="R504" s="68"/>
      <c r="S504" s="68">
        <v>100</v>
      </c>
      <c r="T504" s="68"/>
      <c r="U504" s="129"/>
      <c r="V504" s="68">
        <f t="shared" si="201"/>
        <v>100</v>
      </c>
      <c r="W504" s="91" t="s">
        <v>3117</v>
      </c>
    </row>
    <row r="505" s="4" customFormat="1" ht="26.25" customHeight="1" spans="1:23">
      <c r="A505" s="117">
        <v>302001</v>
      </c>
      <c r="B505" s="29" t="s">
        <v>3103</v>
      </c>
      <c r="C505" s="35" t="s">
        <v>3118</v>
      </c>
      <c r="D505" s="38" t="s">
        <v>3119</v>
      </c>
      <c r="E505" s="121" t="s">
        <v>3120</v>
      </c>
      <c r="F505" s="38" t="s">
        <v>3121</v>
      </c>
      <c r="G505" s="33">
        <f t="shared" si="198"/>
        <v>0</v>
      </c>
      <c r="H505" s="33"/>
      <c r="I505" s="33"/>
      <c r="J505" s="33"/>
      <c r="K505" s="33"/>
      <c r="L505" s="33"/>
      <c r="M505" s="54">
        <f t="shared" si="199"/>
        <v>0</v>
      </c>
      <c r="N505" s="54"/>
      <c r="O505" s="54"/>
      <c r="P505" s="54"/>
      <c r="Q505" s="68">
        <f t="shared" si="200"/>
        <v>1</v>
      </c>
      <c r="R505" s="68"/>
      <c r="S505" s="68">
        <v>1</v>
      </c>
      <c r="T505" s="68"/>
      <c r="U505" s="129"/>
      <c r="V505" s="68">
        <f t="shared" si="201"/>
        <v>1</v>
      </c>
      <c r="W505" s="91" t="s">
        <v>3122</v>
      </c>
    </row>
    <row r="506" s="4" customFormat="1" ht="26.25" customHeight="1" spans="1:23">
      <c r="A506" s="117">
        <v>302001</v>
      </c>
      <c r="B506" s="29" t="s">
        <v>3103</v>
      </c>
      <c r="C506" s="118" t="s">
        <v>2502</v>
      </c>
      <c r="D506" s="119" t="s">
        <v>2503</v>
      </c>
      <c r="E506" s="30" t="s">
        <v>3123</v>
      </c>
      <c r="F506" s="32" t="s">
        <v>1035</v>
      </c>
      <c r="G506" s="33">
        <f t="shared" si="198"/>
        <v>10</v>
      </c>
      <c r="H506" s="33">
        <v>10</v>
      </c>
      <c r="I506" s="33"/>
      <c r="J506" s="33"/>
      <c r="K506" s="33"/>
      <c r="L506" s="33"/>
      <c r="M506" s="54">
        <f t="shared" si="199"/>
        <v>0</v>
      </c>
      <c r="N506" s="54"/>
      <c r="O506" s="54"/>
      <c r="P506" s="54"/>
      <c r="Q506" s="68">
        <f t="shared" si="200"/>
        <v>0</v>
      </c>
      <c r="R506" s="68"/>
      <c r="S506" s="68"/>
      <c r="T506" s="68"/>
      <c r="U506" s="129">
        <v>2</v>
      </c>
      <c r="V506" s="33">
        <f t="shared" si="201"/>
        <v>8</v>
      </c>
      <c r="W506" s="130" t="s">
        <v>2283</v>
      </c>
    </row>
    <row r="507" s="4" customFormat="1" ht="26.25" customHeight="1" spans="1:23">
      <c r="A507" s="115">
        <v>303001</v>
      </c>
      <c r="B507" s="23" t="s">
        <v>3124</v>
      </c>
      <c r="C507" s="116"/>
      <c r="D507" s="116"/>
      <c r="E507" s="84"/>
      <c r="F507" s="26"/>
      <c r="G507" s="27">
        <f t="shared" ref="G507:V507" si="202">SUM(G508:G510)</f>
        <v>1033.4</v>
      </c>
      <c r="H507" s="27">
        <f t="shared" si="202"/>
        <v>1033.4</v>
      </c>
      <c r="I507" s="27">
        <f t="shared" si="202"/>
        <v>0</v>
      </c>
      <c r="J507" s="27">
        <f t="shared" si="202"/>
        <v>0</v>
      </c>
      <c r="K507" s="27">
        <f t="shared" si="202"/>
        <v>1.6</v>
      </c>
      <c r="L507" s="27">
        <f t="shared" si="202"/>
        <v>0</v>
      </c>
      <c r="M507" s="27">
        <f t="shared" si="202"/>
        <v>0</v>
      </c>
      <c r="N507" s="27">
        <f t="shared" si="202"/>
        <v>0</v>
      </c>
      <c r="O507" s="27">
        <f t="shared" si="202"/>
        <v>0</v>
      </c>
      <c r="P507" s="27">
        <f t="shared" si="202"/>
        <v>0</v>
      </c>
      <c r="Q507" s="27">
        <f t="shared" si="202"/>
        <v>0</v>
      </c>
      <c r="R507" s="27">
        <f t="shared" si="202"/>
        <v>0</v>
      </c>
      <c r="S507" s="27">
        <f t="shared" si="202"/>
        <v>0</v>
      </c>
      <c r="T507" s="27">
        <f t="shared" si="202"/>
        <v>0</v>
      </c>
      <c r="U507" s="27">
        <f t="shared" si="202"/>
        <v>0</v>
      </c>
      <c r="V507" s="27">
        <f t="shared" si="202"/>
        <v>1035</v>
      </c>
      <c r="W507" s="67"/>
    </row>
    <row r="508" s="4" customFormat="1" ht="26.25" customHeight="1" spans="1:23">
      <c r="A508" s="117">
        <v>303001</v>
      </c>
      <c r="B508" s="29" t="s">
        <v>3125</v>
      </c>
      <c r="C508" s="35" t="s">
        <v>3126</v>
      </c>
      <c r="D508" s="47" t="s">
        <v>2083</v>
      </c>
      <c r="E508" s="121" t="s">
        <v>3127</v>
      </c>
      <c r="F508" s="35" t="s">
        <v>2317</v>
      </c>
      <c r="G508" s="33">
        <f t="shared" ref="G508:G510" si="203">SUM(H508:J508)</f>
        <v>0</v>
      </c>
      <c r="H508" s="33"/>
      <c r="I508" s="33"/>
      <c r="J508" s="33"/>
      <c r="K508" s="55">
        <v>1.6</v>
      </c>
      <c r="L508" s="33"/>
      <c r="M508" s="54">
        <f t="shared" ref="M508:M510" si="204">N508+O508-P508</f>
        <v>0</v>
      </c>
      <c r="N508" s="54"/>
      <c r="O508" s="54"/>
      <c r="P508" s="54"/>
      <c r="Q508" s="68">
        <f t="shared" ref="Q508:Q510" si="205">R508+S508-T508</f>
        <v>0</v>
      </c>
      <c r="R508" s="68"/>
      <c r="S508" s="68"/>
      <c r="T508" s="68"/>
      <c r="U508" s="129"/>
      <c r="V508" s="33">
        <f t="shared" ref="V508:V510" si="206">G508+K508+L508+M508+Q508-U508</f>
        <v>1.6</v>
      </c>
      <c r="W508" s="130" t="s">
        <v>2283</v>
      </c>
    </row>
    <row r="509" s="4" customFormat="1" ht="26.25" customHeight="1" spans="1:23">
      <c r="A509" s="117">
        <v>303001</v>
      </c>
      <c r="B509" s="29" t="s">
        <v>3125</v>
      </c>
      <c r="C509" s="118" t="s">
        <v>3128</v>
      </c>
      <c r="D509" s="119" t="s">
        <v>3129</v>
      </c>
      <c r="E509" s="30" t="s">
        <v>3130</v>
      </c>
      <c r="F509" s="32" t="s">
        <v>3131</v>
      </c>
      <c r="G509" s="33">
        <f t="shared" si="203"/>
        <v>33.4</v>
      </c>
      <c r="H509" s="33">
        <v>33.4</v>
      </c>
      <c r="I509" s="33"/>
      <c r="J509" s="33"/>
      <c r="K509" s="33"/>
      <c r="L509" s="33"/>
      <c r="M509" s="54">
        <f t="shared" si="204"/>
        <v>0</v>
      </c>
      <c r="N509" s="54"/>
      <c r="O509" s="54"/>
      <c r="P509" s="54"/>
      <c r="Q509" s="68">
        <f t="shared" si="205"/>
        <v>0</v>
      </c>
      <c r="R509" s="68"/>
      <c r="S509" s="68"/>
      <c r="T509" s="68"/>
      <c r="U509" s="129"/>
      <c r="V509" s="33">
        <f t="shared" si="206"/>
        <v>33.4</v>
      </c>
      <c r="W509" s="130" t="s">
        <v>2283</v>
      </c>
    </row>
    <row r="510" s="4" customFormat="1" ht="26.25" customHeight="1" spans="1:23">
      <c r="A510" s="117">
        <v>303001</v>
      </c>
      <c r="B510" s="29" t="s">
        <v>3125</v>
      </c>
      <c r="C510" s="118" t="s">
        <v>2551</v>
      </c>
      <c r="D510" s="29" t="s">
        <v>2552</v>
      </c>
      <c r="E510" s="30" t="s">
        <v>3132</v>
      </c>
      <c r="F510" s="32" t="s">
        <v>3133</v>
      </c>
      <c r="G510" s="33">
        <f t="shared" si="203"/>
        <v>1000</v>
      </c>
      <c r="H510" s="33">
        <v>1000</v>
      </c>
      <c r="I510" s="33"/>
      <c r="J510" s="33"/>
      <c r="K510" s="33"/>
      <c r="L510" s="33"/>
      <c r="M510" s="54">
        <f t="shared" si="204"/>
        <v>0</v>
      </c>
      <c r="N510" s="54"/>
      <c r="O510" s="54"/>
      <c r="P510" s="54"/>
      <c r="Q510" s="68">
        <f t="shared" si="205"/>
        <v>0</v>
      </c>
      <c r="R510" s="68"/>
      <c r="S510" s="68"/>
      <c r="T510" s="68"/>
      <c r="U510" s="129"/>
      <c r="V510" s="33">
        <f t="shared" si="206"/>
        <v>1000</v>
      </c>
      <c r="W510" s="130" t="s">
        <v>2283</v>
      </c>
    </row>
    <row r="511" s="4" customFormat="1" ht="26.25" customHeight="1" spans="1:23">
      <c r="A511" s="115">
        <v>304001</v>
      </c>
      <c r="B511" s="23" t="s">
        <v>1360</v>
      </c>
      <c r="C511" s="116"/>
      <c r="D511" s="116"/>
      <c r="E511" s="84"/>
      <c r="F511" s="26"/>
      <c r="G511" s="27">
        <f t="shared" ref="G511:V511" si="207">SUM(G512:G514)</f>
        <v>345</v>
      </c>
      <c r="H511" s="27">
        <f t="shared" si="207"/>
        <v>345</v>
      </c>
      <c r="I511" s="27">
        <f t="shared" si="207"/>
        <v>0</v>
      </c>
      <c r="J511" s="27">
        <f t="shared" si="207"/>
        <v>0</v>
      </c>
      <c r="K511" s="27">
        <f t="shared" si="207"/>
        <v>0</v>
      </c>
      <c r="L511" s="27">
        <f t="shared" si="207"/>
        <v>0</v>
      </c>
      <c r="M511" s="27">
        <f t="shared" si="207"/>
        <v>0</v>
      </c>
      <c r="N511" s="27">
        <f t="shared" si="207"/>
        <v>0</v>
      </c>
      <c r="O511" s="27">
        <f t="shared" si="207"/>
        <v>0</v>
      </c>
      <c r="P511" s="27">
        <f t="shared" si="207"/>
        <v>0</v>
      </c>
      <c r="Q511" s="27">
        <f t="shared" si="207"/>
        <v>0</v>
      </c>
      <c r="R511" s="27">
        <f t="shared" si="207"/>
        <v>0</v>
      </c>
      <c r="S511" s="27">
        <f t="shared" si="207"/>
        <v>0</v>
      </c>
      <c r="T511" s="27">
        <f t="shared" si="207"/>
        <v>0</v>
      </c>
      <c r="U511" s="27">
        <f t="shared" si="207"/>
        <v>3</v>
      </c>
      <c r="V511" s="27">
        <f t="shared" si="207"/>
        <v>342</v>
      </c>
      <c r="W511" s="67"/>
    </row>
    <row r="512" s="4" customFormat="1" ht="26.25" customHeight="1" spans="1:23">
      <c r="A512" s="117">
        <v>304001</v>
      </c>
      <c r="B512" s="29" t="s">
        <v>1929</v>
      </c>
      <c r="C512" s="118" t="s">
        <v>3126</v>
      </c>
      <c r="D512" s="119" t="s">
        <v>2083</v>
      </c>
      <c r="E512" s="30" t="s">
        <v>3134</v>
      </c>
      <c r="F512" s="32" t="s">
        <v>3135</v>
      </c>
      <c r="G512" s="33">
        <f t="shared" ref="G512:G514" si="208">SUM(H512:J512)</f>
        <v>245</v>
      </c>
      <c r="H512" s="33">
        <v>245</v>
      </c>
      <c r="I512" s="33"/>
      <c r="J512" s="33"/>
      <c r="K512" s="33"/>
      <c r="L512" s="33"/>
      <c r="M512" s="54">
        <f t="shared" ref="M512:M514" si="209">N512+O512-P512</f>
        <v>0</v>
      </c>
      <c r="N512" s="54"/>
      <c r="O512" s="54"/>
      <c r="P512" s="54"/>
      <c r="Q512" s="68">
        <f t="shared" ref="Q512:Q514" si="210">R512+S512-T512</f>
        <v>0</v>
      </c>
      <c r="R512" s="68"/>
      <c r="S512" s="68"/>
      <c r="T512" s="68"/>
      <c r="U512" s="129"/>
      <c r="V512" s="33">
        <f t="shared" ref="V512:V514" si="211">G512+K512+L512+M512+Q512-U512</f>
        <v>245</v>
      </c>
      <c r="W512" s="130" t="s">
        <v>2283</v>
      </c>
    </row>
    <row r="513" s="4" customFormat="1" ht="26.25" customHeight="1" spans="1:23">
      <c r="A513" s="117">
        <v>304001</v>
      </c>
      <c r="B513" s="29" t="s">
        <v>1929</v>
      </c>
      <c r="C513" s="118" t="s">
        <v>3126</v>
      </c>
      <c r="D513" s="119" t="s">
        <v>2083</v>
      </c>
      <c r="E513" s="30" t="s">
        <v>3136</v>
      </c>
      <c r="F513" s="32" t="s">
        <v>1037</v>
      </c>
      <c r="G513" s="33">
        <f t="shared" si="208"/>
        <v>10</v>
      </c>
      <c r="H513" s="33">
        <v>10</v>
      </c>
      <c r="I513" s="33"/>
      <c r="J513" s="33"/>
      <c r="K513" s="33"/>
      <c r="L513" s="33"/>
      <c r="M513" s="54">
        <f t="shared" si="209"/>
        <v>0</v>
      </c>
      <c r="N513" s="54"/>
      <c r="O513" s="54"/>
      <c r="P513" s="54"/>
      <c r="Q513" s="68">
        <f t="shared" si="210"/>
        <v>0</v>
      </c>
      <c r="R513" s="68"/>
      <c r="S513" s="68"/>
      <c r="T513" s="68"/>
      <c r="U513" s="129">
        <v>3</v>
      </c>
      <c r="V513" s="33">
        <f t="shared" si="211"/>
        <v>7</v>
      </c>
      <c r="W513" s="130" t="s">
        <v>2283</v>
      </c>
    </row>
    <row r="514" s="4" customFormat="1" ht="26.25" customHeight="1" spans="1:23">
      <c r="A514" s="117">
        <v>304001</v>
      </c>
      <c r="B514" s="29" t="s">
        <v>1929</v>
      </c>
      <c r="C514" s="118" t="s">
        <v>3126</v>
      </c>
      <c r="D514" s="119" t="s">
        <v>2083</v>
      </c>
      <c r="E514" s="30" t="s">
        <v>3137</v>
      </c>
      <c r="F514" s="32" t="s">
        <v>3138</v>
      </c>
      <c r="G514" s="33">
        <f t="shared" si="208"/>
        <v>90</v>
      </c>
      <c r="H514" s="33">
        <v>90</v>
      </c>
      <c r="I514" s="33"/>
      <c r="J514" s="33"/>
      <c r="K514" s="33"/>
      <c r="L514" s="33"/>
      <c r="M514" s="54">
        <f t="shared" si="209"/>
        <v>0</v>
      </c>
      <c r="N514" s="54"/>
      <c r="O514" s="54"/>
      <c r="P514" s="54"/>
      <c r="Q514" s="68">
        <f t="shared" si="210"/>
        <v>0</v>
      </c>
      <c r="R514" s="68"/>
      <c r="S514" s="68"/>
      <c r="T514" s="68"/>
      <c r="U514" s="129"/>
      <c r="V514" s="33">
        <f t="shared" si="211"/>
        <v>90</v>
      </c>
      <c r="W514" s="130" t="s">
        <v>2283</v>
      </c>
    </row>
    <row r="515" s="4" customFormat="1" ht="26.25" customHeight="1" spans="1:23">
      <c r="A515" s="115">
        <v>401001</v>
      </c>
      <c r="B515" s="23" t="s">
        <v>3139</v>
      </c>
      <c r="C515" s="116"/>
      <c r="D515" s="116"/>
      <c r="E515" s="84"/>
      <c r="F515" s="26"/>
      <c r="G515" s="27">
        <f t="shared" ref="G515:V515" si="212">SUM(G516:G530)</f>
        <v>991</v>
      </c>
      <c r="H515" s="27">
        <f t="shared" si="212"/>
        <v>756</v>
      </c>
      <c r="I515" s="27">
        <f t="shared" si="212"/>
        <v>0</v>
      </c>
      <c r="J515" s="27">
        <f t="shared" si="212"/>
        <v>235</v>
      </c>
      <c r="K515" s="27">
        <f t="shared" si="212"/>
        <v>2.02</v>
      </c>
      <c r="L515" s="27">
        <f t="shared" si="212"/>
        <v>28</v>
      </c>
      <c r="M515" s="27">
        <f t="shared" si="212"/>
        <v>-32</v>
      </c>
      <c r="N515" s="27">
        <f t="shared" si="212"/>
        <v>-235</v>
      </c>
      <c r="O515" s="27">
        <f t="shared" si="212"/>
        <v>720</v>
      </c>
      <c r="P515" s="27">
        <f t="shared" si="212"/>
        <v>517</v>
      </c>
      <c r="Q515" s="27">
        <f t="shared" si="212"/>
        <v>129.775341</v>
      </c>
      <c r="R515" s="27">
        <f t="shared" si="212"/>
        <v>0</v>
      </c>
      <c r="S515" s="27">
        <f t="shared" si="212"/>
        <v>129.775341</v>
      </c>
      <c r="T515" s="27">
        <f t="shared" si="212"/>
        <v>0</v>
      </c>
      <c r="U515" s="27">
        <f t="shared" si="212"/>
        <v>522.476164</v>
      </c>
      <c r="V515" s="27">
        <f t="shared" si="212"/>
        <v>596.319177</v>
      </c>
      <c r="W515" s="67"/>
    </row>
    <row r="516" s="4" customFormat="1" ht="26.25" customHeight="1" spans="1:23">
      <c r="A516" s="117">
        <v>401001</v>
      </c>
      <c r="B516" s="29" t="s">
        <v>3140</v>
      </c>
      <c r="C516" s="118" t="s">
        <v>3141</v>
      </c>
      <c r="D516" s="119" t="s">
        <v>2083</v>
      </c>
      <c r="E516" s="30" t="s">
        <v>3142</v>
      </c>
      <c r="F516" s="32" t="s">
        <v>3143</v>
      </c>
      <c r="G516" s="33">
        <f t="shared" ref="G516:G530" si="213">SUM(H516:J516)</f>
        <v>16</v>
      </c>
      <c r="H516" s="33">
        <v>16</v>
      </c>
      <c r="I516" s="33"/>
      <c r="J516" s="33"/>
      <c r="K516" s="33"/>
      <c r="L516" s="33"/>
      <c r="M516" s="54">
        <f t="shared" ref="M516:M530" si="214">N516+O516-P516</f>
        <v>0</v>
      </c>
      <c r="N516" s="54"/>
      <c r="O516" s="54"/>
      <c r="P516" s="54"/>
      <c r="Q516" s="68">
        <f t="shared" ref="Q516:Q530" si="215">R516+S516-T516</f>
        <v>0</v>
      </c>
      <c r="R516" s="68"/>
      <c r="S516" s="68"/>
      <c r="T516" s="68"/>
      <c r="U516" s="129"/>
      <c r="V516" s="33">
        <f t="shared" ref="V516:V530" si="216">G516+K516+L516+M516+Q516-U516</f>
        <v>16</v>
      </c>
      <c r="W516" s="130" t="s">
        <v>2283</v>
      </c>
    </row>
    <row r="517" s="4" customFormat="1" ht="26.25" customHeight="1" spans="1:23">
      <c r="A517" s="117">
        <v>401001</v>
      </c>
      <c r="B517" s="29" t="s">
        <v>3140</v>
      </c>
      <c r="C517" s="118" t="s">
        <v>3141</v>
      </c>
      <c r="D517" s="119" t="s">
        <v>2083</v>
      </c>
      <c r="E517" s="30" t="s">
        <v>3144</v>
      </c>
      <c r="F517" s="32" t="s">
        <v>3145</v>
      </c>
      <c r="G517" s="33">
        <f t="shared" si="213"/>
        <v>50</v>
      </c>
      <c r="H517" s="33">
        <v>50</v>
      </c>
      <c r="I517" s="33"/>
      <c r="J517" s="33"/>
      <c r="K517" s="33"/>
      <c r="L517" s="33"/>
      <c r="M517" s="54">
        <f t="shared" si="214"/>
        <v>0</v>
      </c>
      <c r="N517" s="54"/>
      <c r="O517" s="54"/>
      <c r="P517" s="54"/>
      <c r="Q517" s="68">
        <f t="shared" si="215"/>
        <v>0</v>
      </c>
      <c r="R517" s="68"/>
      <c r="S517" s="68"/>
      <c r="T517" s="68"/>
      <c r="U517" s="129"/>
      <c r="V517" s="33">
        <f t="shared" si="216"/>
        <v>50</v>
      </c>
      <c r="W517" s="130" t="s">
        <v>2283</v>
      </c>
    </row>
    <row r="518" s="4" customFormat="1" ht="26.25" customHeight="1" spans="1:23">
      <c r="A518" s="117">
        <v>401001</v>
      </c>
      <c r="B518" s="29" t="s">
        <v>3140</v>
      </c>
      <c r="C518" s="118" t="s">
        <v>3141</v>
      </c>
      <c r="D518" s="119" t="s">
        <v>2083</v>
      </c>
      <c r="E518" s="30" t="s">
        <v>3146</v>
      </c>
      <c r="F518" s="32" t="s">
        <v>3147</v>
      </c>
      <c r="G518" s="33">
        <f t="shared" si="213"/>
        <v>130</v>
      </c>
      <c r="H518" s="33">
        <v>130</v>
      </c>
      <c r="I518" s="33"/>
      <c r="J518" s="33"/>
      <c r="K518" s="33"/>
      <c r="L518" s="33"/>
      <c r="M518" s="54">
        <f t="shared" si="214"/>
        <v>0</v>
      </c>
      <c r="N518" s="54"/>
      <c r="O518" s="54"/>
      <c r="P518" s="54"/>
      <c r="Q518" s="68">
        <f t="shared" si="215"/>
        <v>0</v>
      </c>
      <c r="R518" s="68"/>
      <c r="S518" s="68"/>
      <c r="T518" s="68"/>
      <c r="U518" s="129"/>
      <c r="V518" s="33">
        <f t="shared" si="216"/>
        <v>130</v>
      </c>
      <c r="W518" s="130" t="s">
        <v>2283</v>
      </c>
    </row>
    <row r="519" s="4" customFormat="1" ht="26.25" customHeight="1" spans="1:23">
      <c r="A519" s="117">
        <v>401001</v>
      </c>
      <c r="B519" s="29" t="s">
        <v>3140</v>
      </c>
      <c r="C519" s="49" t="s">
        <v>2546</v>
      </c>
      <c r="D519" s="139" t="s">
        <v>2547</v>
      </c>
      <c r="E519" s="49" t="s">
        <v>3148</v>
      </c>
      <c r="F519" s="49" t="s">
        <v>1039</v>
      </c>
      <c r="G519" s="33">
        <f t="shared" si="213"/>
        <v>0</v>
      </c>
      <c r="H519" s="33"/>
      <c r="I519" s="33"/>
      <c r="J519" s="33"/>
      <c r="K519" s="33"/>
      <c r="L519" s="128">
        <v>20</v>
      </c>
      <c r="M519" s="54">
        <f t="shared" si="214"/>
        <v>0</v>
      </c>
      <c r="N519" s="54"/>
      <c r="O519" s="54"/>
      <c r="P519" s="54"/>
      <c r="Q519" s="68">
        <f t="shared" si="215"/>
        <v>0</v>
      </c>
      <c r="R519" s="68"/>
      <c r="S519" s="68"/>
      <c r="T519" s="68"/>
      <c r="U519" s="129"/>
      <c r="V519" s="33">
        <f t="shared" si="216"/>
        <v>20</v>
      </c>
      <c r="W519" s="130" t="s">
        <v>2283</v>
      </c>
    </row>
    <row r="520" s="4" customFormat="1" ht="26.25" customHeight="1" spans="1:23">
      <c r="A520" s="117">
        <v>401001</v>
      </c>
      <c r="B520" s="29" t="s">
        <v>3140</v>
      </c>
      <c r="C520" s="35" t="s">
        <v>3149</v>
      </c>
      <c r="D520" s="47" t="s">
        <v>2083</v>
      </c>
      <c r="E520" s="121" t="s">
        <v>3150</v>
      </c>
      <c r="F520" s="35" t="s">
        <v>2317</v>
      </c>
      <c r="G520" s="33">
        <f t="shared" si="213"/>
        <v>0</v>
      </c>
      <c r="H520" s="33"/>
      <c r="I520" s="33"/>
      <c r="J520" s="33"/>
      <c r="K520" s="55">
        <v>2.02</v>
      </c>
      <c r="L520" s="33"/>
      <c r="M520" s="54">
        <f t="shared" si="214"/>
        <v>0</v>
      </c>
      <c r="N520" s="54"/>
      <c r="O520" s="54"/>
      <c r="P520" s="54"/>
      <c r="Q520" s="68">
        <f t="shared" si="215"/>
        <v>0</v>
      </c>
      <c r="R520" s="68"/>
      <c r="S520" s="68"/>
      <c r="T520" s="68"/>
      <c r="U520" s="129"/>
      <c r="V520" s="33">
        <f t="shared" si="216"/>
        <v>2.02</v>
      </c>
      <c r="W520" s="130" t="s">
        <v>2283</v>
      </c>
    </row>
    <row r="521" s="4" customFormat="1" ht="26.25" customHeight="1" spans="1:23">
      <c r="A521" s="117">
        <v>401001</v>
      </c>
      <c r="B521" s="29" t="s">
        <v>3140</v>
      </c>
      <c r="C521" s="118" t="s">
        <v>3151</v>
      </c>
      <c r="D521" s="86" t="s">
        <v>3152</v>
      </c>
      <c r="E521" s="121" t="s">
        <v>3153</v>
      </c>
      <c r="F521" s="38" t="s">
        <v>3154</v>
      </c>
      <c r="G521" s="33">
        <f t="shared" si="213"/>
        <v>0</v>
      </c>
      <c r="H521" s="33"/>
      <c r="I521" s="33"/>
      <c r="J521" s="33"/>
      <c r="K521" s="33"/>
      <c r="L521" s="33"/>
      <c r="M521" s="54">
        <f t="shared" si="214"/>
        <v>0</v>
      </c>
      <c r="N521" s="54"/>
      <c r="O521" s="54"/>
      <c r="P521" s="54"/>
      <c r="Q521" s="68">
        <f t="shared" si="215"/>
        <v>90.005341</v>
      </c>
      <c r="R521" s="68"/>
      <c r="S521" s="68">
        <v>90.005341</v>
      </c>
      <c r="T521" s="73"/>
      <c r="U521" s="129"/>
      <c r="V521" s="68">
        <f t="shared" si="216"/>
        <v>90.005341</v>
      </c>
      <c r="W521" s="91" t="s">
        <v>3155</v>
      </c>
    </row>
    <row r="522" s="4" customFormat="1" ht="26.25" customHeight="1" spans="1:24">
      <c r="A522" s="117">
        <v>401001</v>
      </c>
      <c r="B522" s="29" t="s">
        <v>3140</v>
      </c>
      <c r="C522" s="118" t="s">
        <v>3151</v>
      </c>
      <c r="D522" s="29" t="s">
        <v>3152</v>
      </c>
      <c r="E522" s="30" t="s">
        <v>3156</v>
      </c>
      <c r="F522" s="32" t="s">
        <v>1041</v>
      </c>
      <c r="G522" s="33">
        <f t="shared" si="213"/>
        <v>560</v>
      </c>
      <c r="H522" s="33">
        <v>560</v>
      </c>
      <c r="I522" s="33"/>
      <c r="J522" s="33"/>
      <c r="K522" s="33"/>
      <c r="L522" s="33"/>
      <c r="M522" s="54">
        <f t="shared" si="214"/>
        <v>0</v>
      </c>
      <c r="N522" s="54"/>
      <c r="O522" s="54"/>
      <c r="P522" s="54"/>
      <c r="Q522" s="68">
        <f t="shared" si="215"/>
        <v>0</v>
      </c>
      <c r="R522" s="68"/>
      <c r="S522" s="68"/>
      <c r="T522" s="68"/>
      <c r="U522" s="129">
        <v>522.476164</v>
      </c>
      <c r="V522" s="33">
        <f t="shared" si="216"/>
        <v>37.523836</v>
      </c>
      <c r="W522" s="130" t="s">
        <v>2283</v>
      </c>
      <c r="X522" s="140" t="s">
        <v>3157</v>
      </c>
    </row>
    <row r="523" s="4" customFormat="1" ht="26.25" customHeight="1" spans="1:23">
      <c r="A523" s="117">
        <v>401001</v>
      </c>
      <c r="B523" s="29" t="s">
        <v>3140</v>
      </c>
      <c r="C523" s="118" t="s">
        <v>3151</v>
      </c>
      <c r="D523" s="82" t="s">
        <v>3152</v>
      </c>
      <c r="E523" s="30" t="s">
        <v>3158</v>
      </c>
      <c r="F523" s="32" t="s">
        <v>3159</v>
      </c>
      <c r="G523" s="33">
        <f t="shared" si="213"/>
        <v>235</v>
      </c>
      <c r="H523" s="33"/>
      <c r="I523" s="33"/>
      <c r="J523" s="33">
        <v>235</v>
      </c>
      <c r="K523" s="33"/>
      <c r="L523" s="33"/>
      <c r="M523" s="54">
        <f t="shared" si="214"/>
        <v>-235</v>
      </c>
      <c r="N523" s="54">
        <v>-235</v>
      </c>
      <c r="O523" s="54"/>
      <c r="P523" s="54"/>
      <c r="Q523" s="68">
        <f t="shared" si="215"/>
        <v>0</v>
      </c>
      <c r="R523" s="68"/>
      <c r="S523" s="68"/>
      <c r="T523" s="68"/>
      <c r="U523" s="129"/>
      <c r="V523" s="54">
        <f t="shared" si="216"/>
        <v>0</v>
      </c>
      <c r="W523" s="92" t="s">
        <v>2283</v>
      </c>
    </row>
    <row r="524" s="4" customFormat="1" ht="26.25" customHeight="1" spans="1:23">
      <c r="A524" s="117">
        <v>401001</v>
      </c>
      <c r="B524" s="29" t="s">
        <v>3140</v>
      </c>
      <c r="C524" s="118" t="s">
        <v>3151</v>
      </c>
      <c r="D524" s="29" t="s">
        <v>3152</v>
      </c>
      <c r="E524" s="30" t="s">
        <v>3160</v>
      </c>
      <c r="F524" s="32" t="s">
        <v>3161</v>
      </c>
      <c r="G524" s="33">
        <f t="shared" si="213"/>
        <v>0</v>
      </c>
      <c r="H524" s="33"/>
      <c r="I524" s="33"/>
      <c r="J524" s="33"/>
      <c r="K524" s="33"/>
      <c r="L524" s="33"/>
      <c r="M524" s="54">
        <f t="shared" si="214"/>
        <v>0</v>
      </c>
      <c r="N524" s="54"/>
      <c r="O524" s="54"/>
      <c r="P524" s="54"/>
      <c r="Q524" s="68">
        <f t="shared" si="215"/>
        <v>0</v>
      </c>
      <c r="R524" s="68"/>
      <c r="S524" s="68"/>
      <c r="T524" s="68"/>
      <c r="U524" s="129"/>
      <c r="V524" s="33">
        <f t="shared" si="216"/>
        <v>0</v>
      </c>
      <c r="W524" s="130" t="s">
        <v>2283</v>
      </c>
    </row>
    <row r="525" s="4" customFormat="1" ht="26.25" customHeight="1" spans="1:23">
      <c r="A525" s="117">
        <v>401001</v>
      </c>
      <c r="B525" s="29" t="s">
        <v>3140</v>
      </c>
      <c r="C525" s="35" t="s">
        <v>2412</v>
      </c>
      <c r="D525" s="76" t="s">
        <v>2310</v>
      </c>
      <c r="E525" s="121" t="s">
        <v>3162</v>
      </c>
      <c r="F525" s="35" t="s">
        <v>3163</v>
      </c>
      <c r="G525" s="33">
        <f t="shared" si="213"/>
        <v>0</v>
      </c>
      <c r="H525" s="33"/>
      <c r="I525" s="33"/>
      <c r="J525" s="33"/>
      <c r="K525" s="33"/>
      <c r="L525" s="33"/>
      <c r="M525" s="54">
        <f t="shared" si="214"/>
        <v>107</v>
      </c>
      <c r="N525" s="54"/>
      <c r="O525" s="54">
        <v>424</v>
      </c>
      <c r="P525" s="54">
        <v>317</v>
      </c>
      <c r="Q525" s="68">
        <f t="shared" si="215"/>
        <v>0</v>
      </c>
      <c r="R525" s="68"/>
      <c r="S525" s="68"/>
      <c r="T525" s="68"/>
      <c r="U525" s="129">
        <v>0</v>
      </c>
      <c r="V525" s="54">
        <f t="shared" si="216"/>
        <v>107</v>
      </c>
      <c r="W525" s="92" t="s">
        <v>547</v>
      </c>
    </row>
    <row r="526" s="4" customFormat="1" ht="26.25" customHeight="1" spans="1:23">
      <c r="A526" s="117">
        <v>401001</v>
      </c>
      <c r="B526" s="29" t="s">
        <v>3140</v>
      </c>
      <c r="C526" s="35" t="s">
        <v>2412</v>
      </c>
      <c r="D526" s="76" t="s">
        <v>2310</v>
      </c>
      <c r="E526" s="30" t="s">
        <v>3164</v>
      </c>
      <c r="F526" s="32" t="s">
        <v>3165</v>
      </c>
      <c r="G526" s="33">
        <f t="shared" si="213"/>
        <v>0</v>
      </c>
      <c r="H526" s="33"/>
      <c r="I526" s="33"/>
      <c r="J526" s="33"/>
      <c r="K526" s="33"/>
      <c r="L526" s="33"/>
      <c r="M526" s="54">
        <f t="shared" si="214"/>
        <v>72</v>
      </c>
      <c r="N526" s="54"/>
      <c r="O526" s="54">
        <v>272</v>
      </c>
      <c r="P526" s="54">
        <v>200</v>
      </c>
      <c r="Q526" s="68">
        <f t="shared" si="215"/>
        <v>0</v>
      </c>
      <c r="R526" s="68"/>
      <c r="S526" s="68"/>
      <c r="T526" s="68"/>
      <c r="U526" s="129"/>
      <c r="V526" s="54">
        <f t="shared" si="216"/>
        <v>72</v>
      </c>
      <c r="W526" s="92" t="s">
        <v>674</v>
      </c>
    </row>
    <row r="527" s="4" customFormat="1" ht="26.25" customHeight="1" spans="1:23">
      <c r="A527" s="117">
        <v>401001</v>
      </c>
      <c r="B527" s="29" t="s">
        <v>3140</v>
      </c>
      <c r="C527" s="35" t="s">
        <v>2412</v>
      </c>
      <c r="D527" s="76" t="s">
        <v>2310</v>
      </c>
      <c r="E527" s="30" t="s">
        <v>3164</v>
      </c>
      <c r="F527" s="32" t="s">
        <v>3165</v>
      </c>
      <c r="G527" s="33">
        <f t="shared" si="213"/>
        <v>0</v>
      </c>
      <c r="H527" s="33"/>
      <c r="I527" s="33"/>
      <c r="J527" s="33"/>
      <c r="K527" s="33"/>
      <c r="L527" s="33"/>
      <c r="M527" s="54">
        <f t="shared" si="214"/>
        <v>24</v>
      </c>
      <c r="N527" s="54"/>
      <c r="O527" s="54">
        <v>24</v>
      </c>
      <c r="P527" s="54"/>
      <c r="Q527" s="68">
        <f t="shared" si="215"/>
        <v>0</v>
      </c>
      <c r="R527" s="68"/>
      <c r="S527" s="68"/>
      <c r="T527" s="68"/>
      <c r="U527" s="129"/>
      <c r="V527" s="54">
        <f t="shared" si="216"/>
        <v>24</v>
      </c>
      <c r="W527" s="92" t="s">
        <v>678</v>
      </c>
    </row>
    <row r="528" s="4" customFormat="1" ht="26.25" customHeight="1" spans="1:23">
      <c r="A528" s="117">
        <v>401001</v>
      </c>
      <c r="B528" s="29" t="s">
        <v>3140</v>
      </c>
      <c r="C528" s="118">
        <v>2111201</v>
      </c>
      <c r="D528" s="86"/>
      <c r="E528" s="121"/>
      <c r="F528" s="38" t="s">
        <v>3166</v>
      </c>
      <c r="G528" s="33">
        <f t="shared" si="213"/>
        <v>0</v>
      </c>
      <c r="H528" s="33"/>
      <c r="I528" s="33"/>
      <c r="J528" s="33"/>
      <c r="K528" s="33"/>
      <c r="L528" s="33"/>
      <c r="M528" s="54">
        <f t="shared" si="214"/>
        <v>0</v>
      </c>
      <c r="N528" s="54"/>
      <c r="O528" s="54"/>
      <c r="P528" s="54"/>
      <c r="Q528" s="68">
        <f t="shared" si="215"/>
        <v>39.77</v>
      </c>
      <c r="R528" s="68"/>
      <c r="S528" s="68">
        <v>39.77</v>
      </c>
      <c r="T528" s="68"/>
      <c r="U528" s="129"/>
      <c r="V528" s="68">
        <f t="shared" si="216"/>
        <v>39.77</v>
      </c>
      <c r="W528" s="91" t="s">
        <v>3167</v>
      </c>
    </row>
    <row r="529" s="4" customFormat="1" ht="26.25" customHeight="1" spans="1:23">
      <c r="A529" s="117">
        <v>401001</v>
      </c>
      <c r="B529" s="29" t="s">
        <v>3140</v>
      </c>
      <c r="C529" s="118" t="s">
        <v>3141</v>
      </c>
      <c r="D529" s="29" t="s">
        <v>2083</v>
      </c>
      <c r="E529" s="121"/>
      <c r="F529" s="38" t="s">
        <v>1040</v>
      </c>
      <c r="G529" s="33">
        <f t="shared" si="213"/>
        <v>0</v>
      </c>
      <c r="H529" s="33"/>
      <c r="I529" s="33"/>
      <c r="J529" s="33"/>
      <c r="K529" s="33"/>
      <c r="L529" s="33">
        <v>8</v>
      </c>
      <c r="M529" s="54">
        <f t="shared" si="214"/>
        <v>0</v>
      </c>
      <c r="N529" s="54"/>
      <c r="O529" s="54"/>
      <c r="P529" s="54"/>
      <c r="Q529" s="68">
        <f t="shared" si="215"/>
        <v>0</v>
      </c>
      <c r="R529" s="68"/>
      <c r="S529" s="68"/>
      <c r="T529" s="68"/>
      <c r="U529" s="129"/>
      <c r="V529" s="68">
        <f t="shared" si="216"/>
        <v>8</v>
      </c>
      <c r="W529" s="91" t="s">
        <v>3167</v>
      </c>
    </row>
    <row r="530" s="4" customFormat="1" ht="26.25" customHeight="1" spans="1:23">
      <c r="A530" s="117">
        <v>401001</v>
      </c>
      <c r="B530" s="29" t="s">
        <v>3140</v>
      </c>
      <c r="C530" s="118" t="s">
        <v>3141</v>
      </c>
      <c r="D530" s="29" t="s">
        <v>2083</v>
      </c>
      <c r="E530" s="121"/>
      <c r="F530" s="38" t="s">
        <v>3168</v>
      </c>
      <c r="G530" s="33">
        <f t="shared" si="213"/>
        <v>0</v>
      </c>
      <c r="H530" s="33"/>
      <c r="I530" s="33"/>
      <c r="J530" s="33"/>
      <c r="K530" s="33"/>
      <c r="L530" s="33"/>
      <c r="M530" s="54">
        <f t="shared" si="214"/>
        <v>0</v>
      </c>
      <c r="N530" s="54"/>
      <c r="O530" s="54"/>
      <c r="P530" s="54"/>
      <c r="Q530" s="68">
        <f t="shared" si="215"/>
        <v>0</v>
      </c>
      <c r="R530" s="68"/>
      <c r="S530" s="68"/>
      <c r="T530" s="68"/>
      <c r="U530" s="129"/>
      <c r="V530" s="68">
        <f t="shared" si="216"/>
        <v>0</v>
      </c>
      <c r="W530" s="91" t="s">
        <v>3167</v>
      </c>
    </row>
    <row r="531" s="4" customFormat="1" ht="26.25" customHeight="1" spans="1:23">
      <c r="A531" s="115">
        <v>402001</v>
      </c>
      <c r="B531" s="23" t="s">
        <v>3169</v>
      </c>
      <c r="C531" s="116"/>
      <c r="D531" s="116"/>
      <c r="E531" s="84"/>
      <c r="F531" s="26"/>
      <c r="G531" s="27">
        <f t="shared" ref="G531:V531" si="217">SUM(G532:G535)</f>
        <v>750</v>
      </c>
      <c r="H531" s="27">
        <f t="shared" si="217"/>
        <v>750</v>
      </c>
      <c r="I531" s="27">
        <f t="shared" si="217"/>
        <v>0</v>
      </c>
      <c r="J531" s="27">
        <f t="shared" si="217"/>
        <v>0</v>
      </c>
      <c r="K531" s="27">
        <f t="shared" si="217"/>
        <v>3.1</v>
      </c>
      <c r="L531" s="27">
        <f t="shared" si="217"/>
        <v>100</v>
      </c>
      <c r="M531" s="27">
        <f t="shared" si="217"/>
        <v>0</v>
      </c>
      <c r="N531" s="27">
        <f t="shared" si="217"/>
        <v>0</v>
      </c>
      <c r="O531" s="27">
        <f t="shared" si="217"/>
        <v>0</v>
      </c>
      <c r="P531" s="27">
        <f t="shared" si="217"/>
        <v>0</v>
      </c>
      <c r="Q531" s="27">
        <f t="shared" si="217"/>
        <v>32.690896</v>
      </c>
      <c r="R531" s="27">
        <f t="shared" si="217"/>
        <v>0</v>
      </c>
      <c r="S531" s="27">
        <f t="shared" si="217"/>
        <v>32.690896</v>
      </c>
      <c r="T531" s="27">
        <f t="shared" si="217"/>
        <v>0</v>
      </c>
      <c r="U531" s="27">
        <f t="shared" si="217"/>
        <v>0</v>
      </c>
      <c r="V531" s="27">
        <f t="shared" si="217"/>
        <v>885.790896</v>
      </c>
      <c r="W531" s="67"/>
    </row>
    <row r="532" s="4" customFormat="1" ht="26.25" customHeight="1" spans="1:23">
      <c r="A532" s="117">
        <v>402001</v>
      </c>
      <c r="B532" s="29" t="s">
        <v>3170</v>
      </c>
      <c r="C532" s="118" t="s">
        <v>2307</v>
      </c>
      <c r="D532" s="119" t="s">
        <v>2308</v>
      </c>
      <c r="E532" s="30" t="s">
        <v>3171</v>
      </c>
      <c r="F532" s="32" t="s">
        <v>1037</v>
      </c>
      <c r="G532" s="33">
        <f t="shared" ref="G532:G535" si="218">SUM(H532:J532)</f>
        <v>750</v>
      </c>
      <c r="H532" s="33">
        <v>750</v>
      </c>
      <c r="I532" s="33"/>
      <c r="J532" s="33"/>
      <c r="K532" s="33"/>
      <c r="L532" s="33">
        <v>100</v>
      </c>
      <c r="M532" s="54">
        <f t="shared" ref="M532:M535" si="219">N532+O532-P532</f>
        <v>0</v>
      </c>
      <c r="N532" s="54"/>
      <c r="O532" s="54"/>
      <c r="P532" s="54"/>
      <c r="Q532" s="68">
        <f t="shared" ref="Q532:Q535" si="220">R532+S532-T532</f>
        <v>0</v>
      </c>
      <c r="R532" s="68"/>
      <c r="S532" s="68"/>
      <c r="T532" s="68"/>
      <c r="U532" s="129"/>
      <c r="V532" s="33">
        <f>G532+K532+L532+M532+Q532-U532</f>
        <v>850</v>
      </c>
      <c r="W532" s="130" t="s">
        <v>2283</v>
      </c>
    </row>
    <row r="533" s="4" customFormat="1" ht="26.25" customHeight="1" spans="1:23">
      <c r="A533" s="117">
        <v>402001</v>
      </c>
      <c r="B533" s="29" t="s">
        <v>3170</v>
      </c>
      <c r="C533" s="118" t="s">
        <v>2307</v>
      </c>
      <c r="D533" s="86" t="s">
        <v>2308</v>
      </c>
      <c r="E533" s="121" t="s">
        <v>3172</v>
      </c>
      <c r="F533" s="38" t="s">
        <v>3173</v>
      </c>
      <c r="G533" s="33">
        <f t="shared" si="218"/>
        <v>0</v>
      </c>
      <c r="H533" s="33"/>
      <c r="I533" s="33"/>
      <c r="J533" s="33"/>
      <c r="K533" s="33"/>
      <c r="L533" s="33"/>
      <c r="M533" s="54">
        <f t="shared" si="219"/>
        <v>0</v>
      </c>
      <c r="N533" s="54"/>
      <c r="O533" s="54"/>
      <c r="P533" s="54"/>
      <c r="Q533" s="68">
        <f t="shared" si="220"/>
        <v>7.290896</v>
      </c>
      <c r="R533" s="68"/>
      <c r="S533" s="68">
        <v>7.290896</v>
      </c>
      <c r="T533" s="68"/>
      <c r="U533" s="129"/>
      <c r="V533" s="68">
        <f t="shared" ref="V532:V535" si="221">G533+K533+L533+M533+Q533-U533</f>
        <v>7.290896</v>
      </c>
      <c r="W533" s="91" t="s">
        <v>3174</v>
      </c>
    </row>
    <row r="534" s="4" customFormat="1" ht="26.25" customHeight="1" spans="1:23">
      <c r="A534" s="117">
        <v>402001</v>
      </c>
      <c r="B534" s="29" t="s">
        <v>3170</v>
      </c>
      <c r="C534" s="118" t="s">
        <v>2307</v>
      </c>
      <c r="D534" s="119" t="s">
        <v>2308</v>
      </c>
      <c r="E534" s="121" t="s">
        <v>3175</v>
      </c>
      <c r="F534" s="35" t="s">
        <v>2317</v>
      </c>
      <c r="G534" s="33">
        <f t="shared" si="218"/>
        <v>0</v>
      </c>
      <c r="H534" s="33"/>
      <c r="I534" s="33"/>
      <c r="J534" s="33"/>
      <c r="K534" s="55">
        <v>3.1</v>
      </c>
      <c r="L534" s="33"/>
      <c r="M534" s="54">
        <f t="shared" si="219"/>
        <v>0</v>
      </c>
      <c r="N534" s="54"/>
      <c r="O534" s="54"/>
      <c r="P534" s="54"/>
      <c r="Q534" s="68">
        <f t="shared" si="220"/>
        <v>0</v>
      </c>
      <c r="R534" s="68"/>
      <c r="S534" s="68"/>
      <c r="T534" s="68"/>
      <c r="U534" s="129"/>
      <c r="V534" s="33">
        <f t="shared" si="221"/>
        <v>3.1</v>
      </c>
      <c r="W534" s="130" t="s">
        <v>2283</v>
      </c>
    </row>
    <row r="535" s="4" customFormat="1" ht="26.25" customHeight="1" spans="1:23">
      <c r="A535" s="117">
        <v>402001</v>
      </c>
      <c r="B535" s="29" t="s">
        <v>3170</v>
      </c>
      <c r="C535" s="35" t="s">
        <v>3176</v>
      </c>
      <c r="D535" s="38" t="s">
        <v>3177</v>
      </c>
      <c r="E535" s="121" t="s">
        <v>3178</v>
      </c>
      <c r="F535" s="38" t="s">
        <v>3179</v>
      </c>
      <c r="G535" s="33">
        <f t="shared" si="218"/>
        <v>0</v>
      </c>
      <c r="H535" s="33"/>
      <c r="I535" s="33"/>
      <c r="J535" s="33"/>
      <c r="K535" s="33"/>
      <c r="L535" s="33"/>
      <c r="M535" s="54">
        <f t="shared" si="219"/>
        <v>0</v>
      </c>
      <c r="N535" s="54"/>
      <c r="O535" s="54"/>
      <c r="P535" s="54"/>
      <c r="Q535" s="68">
        <f t="shared" si="220"/>
        <v>25.4</v>
      </c>
      <c r="R535" s="68"/>
      <c r="S535" s="68">
        <v>25.4</v>
      </c>
      <c r="T535" s="68"/>
      <c r="U535" s="129"/>
      <c r="V535" s="68">
        <f t="shared" si="221"/>
        <v>25.4</v>
      </c>
      <c r="W535" s="91" t="s">
        <v>3180</v>
      </c>
    </row>
    <row r="536" s="4" customFormat="1" ht="26.25" customHeight="1" spans="1:23">
      <c r="A536" s="115">
        <v>403001</v>
      </c>
      <c r="B536" s="23" t="s">
        <v>3181</v>
      </c>
      <c r="C536" s="116"/>
      <c r="D536" s="116"/>
      <c r="E536" s="84"/>
      <c r="F536" s="26"/>
      <c r="G536" s="27">
        <f t="shared" ref="G536:V536" si="222">SUM(G537:G549)</f>
        <v>536.4</v>
      </c>
      <c r="H536" s="27">
        <f t="shared" si="222"/>
        <v>536.4</v>
      </c>
      <c r="I536" s="27">
        <f t="shared" si="222"/>
        <v>0</v>
      </c>
      <c r="J536" s="27">
        <f t="shared" si="222"/>
        <v>0</v>
      </c>
      <c r="K536" s="27">
        <f t="shared" si="222"/>
        <v>5.5</v>
      </c>
      <c r="L536" s="27">
        <f t="shared" si="222"/>
        <v>7</v>
      </c>
      <c r="M536" s="27">
        <f t="shared" si="222"/>
        <v>82.69</v>
      </c>
      <c r="N536" s="27">
        <f t="shared" si="222"/>
        <v>0</v>
      </c>
      <c r="O536" s="27">
        <f t="shared" si="222"/>
        <v>82.69</v>
      </c>
      <c r="P536" s="27">
        <f t="shared" si="222"/>
        <v>0</v>
      </c>
      <c r="Q536" s="27">
        <f t="shared" si="222"/>
        <v>25</v>
      </c>
      <c r="R536" s="27">
        <f t="shared" si="222"/>
        <v>0</v>
      </c>
      <c r="S536" s="27">
        <f t="shared" si="222"/>
        <v>60</v>
      </c>
      <c r="T536" s="27">
        <f t="shared" si="222"/>
        <v>35</v>
      </c>
      <c r="U536" s="27">
        <f t="shared" si="222"/>
        <v>4.5</v>
      </c>
      <c r="V536" s="27">
        <f t="shared" si="222"/>
        <v>652.09</v>
      </c>
      <c r="W536" s="67"/>
    </row>
    <row r="537" s="4" customFormat="1" ht="26.25" customHeight="1" spans="1:23">
      <c r="A537" s="117">
        <v>403001</v>
      </c>
      <c r="B537" s="29" t="s">
        <v>3182</v>
      </c>
      <c r="C537" s="118" t="s">
        <v>3183</v>
      </c>
      <c r="D537" s="119" t="s">
        <v>2083</v>
      </c>
      <c r="E537" s="121" t="s">
        <v>3184</v>
      </c>
      <c r="F537" s="35" t="s">
        <v>1044</v>
      </c>
      <c r="G537" s="33">
        <f t="shared" ref="G537:G549" si="223">SUM(H537:J537)</f>
        <v>0</v>
      </c>
      <c r="H537" s="33"/>
      <c r="I537" s="33"/>
      <c r="J537" s="33"/>
      <c r="K537" s="55">
        <v>3</v>
      </c>
      <c r="L537" s="128">
        <v>7</v>
      </c>
      <c r="M537" s="54">
        <f t="shared" ref="M537:M549" si="224">N537+O537-P537</f>
        <v>0</v>
      </c>
      <c r="N537" s="54"/>
      <c r="O537" s="54"/>
      <c r="P537" s="54"/>
      <c r="Q537" s="68">
        <f t="shared" ref="Q537:Q549" si="225">R537+S537-T537</f>
        <v>0</v>
      </c>
      <c r="R537" s="68"/>
      <c r="S537" s="68"/>
      <c r="T537" s="68"/>
      <c r="U537" s="129"/>
      <c r="V537" s="33">
        <f t="shared" ref="V537:V549" si="226">G537+K537+L537+M537+Q537-U537</f>
        <v>10</v>
      </c>
      <c r="W537" s="130" t="s">
        <v>2283</v>
      </c>
    </row>
    <row r="538" s="4" customFormat="1" ht="26.25" customHeight="1" spans="1:23">
      <c r="A538" s="117">
        <v>403001</v>
      </c>
      <c r="B538" s="29" t="s">
        <v>3182</v>
      </c>
      <c r="C538" s="118" t="s">
        <v>3183</v>
      </c>
      <c r="D538" s="119" t="s">
        <v>2083</v>
      </c>
      <c r="E538" s="30" t="s">
        <v>3185</v>
      </c>
      <c r="F538" s="32" t="s">
        <v>1046</v>
      </c>
      <c r="G538" s="33">
        <f t="shared" si="223"/>
        <v>8</v>
      </c>
      <c r="H538" s="33">
        <v>8</v>
      </c>
      <c r="I538" s="33"/>
      <c r="J538" s="33"/>
      <c r="K538" s="33"/>
      <c r="L538" s="33"/>
      <c r="M538" s="54">
        <f t="shared" si="224"/>
        <v>0</v>
      </c>
      <c r="N538" s="54"/>
      <c r="O538" s="54"/>
      <c r="P538" s="54"/>
      <c r="Q538" s="68">
        <f t="shared" si="225"/>
        <v>0</v>
      </c>
      <c r="R538" s="68"/>
      <c r="S538" s="68"/>
      <c r="T538" s="68"/>
      <c r="U538" s="129">
        <v>4</v>
      </c>
      <c r="V538" s="33">
        <f t="shared" si="226"/>
        <v>4</v>
      </c>
      <c r="W538" s="130" t="s">
        <v>2283</v>
      </c>
    </row>
    <row r="539" s="4" customFormat="1" ht="26.25" customHeight="1" spans="1:23">
      <c r="A539" s="117">
        <v>403001</v>
      </c>
      <c r="B539" s="29" t="s">
        <v>3182</v>
      </c>
      <c r="C539" s="118" t="s">
        <v>3183</v>
      </c>
      <c r="D539" s="119" t="s">
        <v>2083</v>
      </c>
      <c r="E539" s="30" t="s">
        <v>3186</v>
      </c>
      <c r="F539" s="32" t="s">
        <v>946</v>
      </c>
      <c r="G539" s="33">
        <f t="shared" si="223"/>
        <v>2</v>
      </c>
      <c r="H539" s="33">
        <v>2</v>
      </c>
      <c r="I539" s="33"/>
      <c r="J539" s="33"/>
      <c r="K539" s="33"/>
      <c r="L539" s="33"/>
      <c r="M539" s="54">
        <f t="shared" si="224"/>
        <v>0</v>
      </c>
      <c r="N539" s="54"/>
      <c r="O539" s="54"/>
      <c r="P539" s="54"/>
      <c r="Q539" s="68">
        <f t="shared" si="225"/>
        <v>0</v>
      </c>
      <c r="R539" s="68"/>
      <c r="S539" s="68"/>
      <c r="T539" s="68"/>
      <c r="U539" s="129"/>
      <c r="V539" s="33">
        <f t="shared" si="226"/>
        <v>2</v>
      </c>
      <c r="W539" s="130" t="s">
        <v>2283</v>
      </c>
    </row>
    <row r="540" s="4" customFormat="1" ht="26.25" customHeight="1" spans="1:23">
      <c r="A540" s="117">
        <v>403001</v>
      </c>
      <c r="B540" s="29" t="s">
        <v>3182</v>
      </c>
      <c r="C540" s="118" t="s">
        <v>3183</v>
      </c>
      <c r="D540" s="119" t="s">
        <v>2083</v>
      </c>
      <c r="E540" s="30" t="s">
        <v>3187</v>
      </c>
      <c r="F540" s="32" t="s">
        <v>949</v>
      </c>
      <c r="G540" s="33">
        <f t="shared" si="223"/>
        <v>6</v>
      </c>
      <c r="H540" s="33">
        <v>6</v>
      </c>
      <c r="I540" s="33"/>
      <c r="J540" s="33"/>
      <c r="K540" s="33"/>
      <c r="L540" s="33"/>
      <c r="M540" s="54">
        <f t="shared" si="224"/>
        <v>0</v>
      </c>
      <c r="N540" s="54"/>
      <c r="O540" s="54"/>
      <c r="P540" s="54"/>
      <c r="Q540" s="68">
        <f t="shared" si="225"/>
        <v>0</v>
      </c>
      <c r="R540" s="68"/>
      <c r="S540" s="68"/>
      <c r="T540" s="68"/>
      <c r="U540" s="129"/>
      <c r="V540" s="33">
        <f t="shared" si="226"/>
        <v>6</v>
      </c>
      <c r="W540" s="130" t="s">
        <v>2283</v>
      </c>
    </row>
    <row r="541" s="4" customFormat="1" ht="26.25" customHeight="1" spans="1:23">
      <c r="A541" s="117">
        <v>403001</v>
      </c>
      <c r="B541" s="29" t="s">
        <v>3182</v>
      </c>
      <c r="C541" s="118" t="s">
        <v>3183</v>
      </c>
      <c r="D541" s="119" t="s">
        <v>2083</v>
      </c>
      <c r="E541" s="37" t="s">
        <v>3188</v>
      </c>
      <c r="F541" s="32" t="s">
        <v>1047</v>
      </c>
      <c r="G541" s="33">
        <f t="shared" si="223"/>
        <v>2.4</v>
      </c>
      <c r="H541" s="33">
        <v>2.4</v>
      </c>
      <c r="I541" s="33"/>
      <c r="J541" s="33"/>
      <c r="K541" s="33"/>
      <c r="L541" s="33"/>
      <c r="M541" s="54">
        <f t="shared" si="224"/>
        <v>0</v>
      </c>
      <c r="N541" s="54"/>
      <c r="O541" s="54"/>
      <c r="P541" s="54"/>
      <c r="Q541" s="68">
        <f t="shared" si="225"/>
        <v>0</v>
      </c>
      <c r="R541" s="68"/>
      <c r="S541" s="68"/>
      <c r="T541" s="68"/>
      <c r="U541" s="129">
        <v>0.5</v>
      </c>
      <c r="V541" s="33">
        <f t="shared" si="226"/>
        <v>1.9</v>
      </c>
      <c r="W541" s="130" t="s">
        <v>2283</v>
      </c>
    </row>
    <row r="542" s="4" customFormat="1" ht="26.25" customHeight="1" spans="1:23">
      <c r="A542" s="117">
        <v>403001</v>
      </c>
      <c r="B542" s="29" t="s">
        <v>3182</v>
      </c>
      <c r="C542" s="118" t="s">
        <v>3183</v>
      </c>
      <c r="D542" s="119" t="s">
        <v>2083</v>
      </c>
      <c r="E542" s="30" t="s">
        <v>3189</v>
      </c>
      <c r="F542" s="32" t="s">
        <v>3190</v>
      </c>
      <c r="G542" s="33">
        <f t="shared" si="223"/>
        <v>18</v>
      </c>
      <c r="H542" s="33">
        <v>18</v>
      </c>
      <c r="I542" s="33"/>
      <c r="J542" s="33"/>
      <c r="K542" s="33"/>
      <c r="L542" s="33"/>
      <c r="M542" s="54">
        <f t="shared" si="224"/>
        <v>0</v>
      </c>
      <c r="N542" s="54"/>
      <c r="O542" s="54"/>
      <c r="P542" s="54"/>
      <c r="Q542" s="68">
        <f t="shared" si="225"/>
        <v>0</v>
      </c>
      <c r="R542" s="68"/>
      <c r="S542" s="68"/>
      <c r="T542" s="68"/>
      <c r="U542" s="129"/>
      <c r="V542" s="33">
        <f t="shared" si="226"/>
        <v>18</v>
      </c>
      <c r="W542" s="130" t="s">
        <v>2283</v>
      </c>
    </row>
    <row r="543" s="4" customFormat="1" ht="26.25" customHeight="1" spans="1:23">
      <c r="A543" s="117">
        <v>403001</v>
      </c>
      <c r="B543" s="29" t="s">
        <v>3182</v>
      </c>
      <c r="C543" s="118" t="s">
        <v>3183</v>
      </c>
      <c r="D543" s="119" t="s">
        <v>2083</v>
      </c>
      <c r="E543" s="121" t="s">
        <v>3191</v>
      </c>
      <c r="F543" s="35" t="s">
        <v>2317</v>
      </c>
      <c r="G543" s="33">
        <f t="shared" si="223"/>
        <v>0</v>
      </c>
      <c r="H543" s="33"/>
      <c r="I543" s="33"/>
      <c r="J543" s="33"/>
      <c r="K543" s="55">
        <v>2.5</v>
      </c>
      <c r="L543" s="33"/>
      <c r="M543" s="54">
        <f t="shared" si="224"/>
        <v>0</v>
      </c>
      <c r="N543" s="54"/>
      <c r="O543" s="54"/>
      <c r="P543" s="54"/>
      <c r="Q543" s="68">
        <f t="shared" si="225"/>
        <v>0</v>
      </c>
      <c r="R543" s="68"/>
      <c r="S543" s="68"/>
      <c r="T543" s="68"/>
      <c r="U543" s="129"/>
      <c r="V543" s="33">
        <f t="shared" si="226"/>
        <v>2.5</v>
      </c>
      <c r="W543" s="130" t="s">
        <v>2283</v>
      </c>
    </row>
    <row r="544" s="4" customFormat="1" ht="26.25" customHeight="1" spans="1:23">
      <c r="A544" s="117">
        <v>403001</v>
      </c>
      <c r="B544" s="29" t="s">
        <v>3182</v>
      </c>
      <c r="C544" s="118" t="s">
        <v>2334</v>
      </c>
      <c r="D544" s="29" t="s">
        <v>2335</v>
      </c>
      <c r="E544" s="30" t="s">
        <v>3192</v>
      </c>
      <c r="F544" s="32" t="s">
        <v>3193</v>
      </c>
      <c r="G544" s="33">
        <f t="shared" si="223"/>
        <v>500</v>
      </c>
      <c r="H544" s="33">
        <v>500</v>
      </c>
      <c r="I544" s="33"/>
      <c r="J544" s="33"/>
      <c r="K544" s="33"/>
      <c r="L544" s="33"/>
      <c r="M544" s="54">
        <f t="shared" si="224"/>
        <v>0</v>
      </c>
      <c r="N544" s="54"/>
      <c r="O544" s="54"/>
      <c r="P544" s="54"/>
      <c r="Q544" s="68">
        <f t="shared" si="225"/>
        <v>0</v>
      </c>
      <c r="R544" s="68"/>
      <c r="S544" s="68"/>
      <c r="T544" s="68"/>
      <c r="U544" s="129"/>
      <c r="V544" s="33">
        <f t="shared" si="226"/>
        <v>500</v>
      </c>
      <c r="W544" s="130" t="s">
        <v>2283</v>
      </c>
    </row>
    <row r="545" s="4" customFormat="1" ht="26.25" customHeight="1" spans="1:23">
      <c r="A545" s="117">
        <v>403001</v>
      </c>
      <c r="B545" s="29" t="s">
        <v>3182</v>
      </c>
      <c r="C545" s="35" t="s">
        <v>2921</v>
      </c>
      <c r="D545" s="76" t="s">
        <v>2922</v>
      </c>
      <c r="E545" s="127" t="s">
        <v>3194</v>
      </c>
      <c r="F545" s="35" t="s">
        <v>2924</v>
      </c>
      <c r="G545" s="33">
        <f t="shared" si="223"/>
        <v>0</v>
      </c>
      <c r="H545" s="33"/>
      <c r="I545" s="33"/>
      <c r="J545" s="33"/>
      <c r="K545" s="33"/>
      <c r="L545" s="33"/>
      <c r="M545" s="54">
        <f t="shared" si="224"/>
        <v>20</v>
      </c>
      <c r="N545" s="54"/>
      <c r="O545" s="54">
        <v>20</v>
      </c>
      <c r="P545" s="54"/>
      <c r="Q545" s="68">
        <f t="shared" si="225"/>
        <v>0</v>
      </c>
      <c r="R545" s="68"/>
      <c r="S545" s="68"/>
      <c r="T545" s="68"/>
      <c r="U545" s="129"/>
      <c r="V545" s="54">
        <f t="shared" si="226"/>
        <v>20</v>
      </c>
      <c r="W545" s="92" t="s">
        <v>624</v>
      </c>
    </row>
    <row r="546" s="4" customFormat="1" ht="26.25" customHeight="1" spans="1:23">
      <c r="A546" s="117">
        <v>403001</v>
      </c>
      <c r="B546" s="29" t="s">
        <v>3182</v>
      </c>
      <c r="C546" s="35" t="s">
        <v>2921</v>
      </c>
      <c r="D546" s="76" t="s">
        <v>2922</v>
      </c>
      <c r="E546" s="127" t="s">
        <v>3195</v>
      </c>
      <c r="F546" s="35" t="s">
        <v>2924</v>
      </c>
      <c r="G546" s="33">
        <f t="shared" si="223"/>
        <v>0</v>
      </c>
      <c r="H546" s="33"/>
      <c r="I546" s="33"/>
      <c r="J546" s="33"/>
      <c r="K546" s="33"/>
      <c r="L546" s="33"/>
      <c r="M546" s="54">
        <f t="shared" si="224"/>
        <v>62.69</v>
      </c>
      <c r="N546" s="54"/>
      <c r="O546" s="54">
        <v>62.69</v>
      </c>
      <c r="P546" s="54"/>
      <c r="Q546" s="68">
        <f t="shared" si="225"/>
        <v>0</v>
      </c>
      <c r="R546" s="68"/>
      <c r="S546" s="68"/>
      <c r="T546" s="68"/>
      <c r="U546" s="129"/>
      <c r="V546" s="54">
        <f t="shared" si="226"/>
        <v>62.69</v>
      </c>
      <c r="W546" s="92" t="s">
        <v>624</v>
      </c>
    </row>
    <row r="547" s="4" customFormat="1" ht="26.25" customHeight="1" spans="1:23">
      <c r="A547" s="117">
        <v>403001</v>
      </c>
      <c r="B547" s="29" t="s">
        <v>3182</v>
      </c>
      <c r="C547" s="35" t="s">
        <v>3196</v>
      </c>
      <c r="D547" s="38" t="s">
        <v>3197</v>
      </c>
      <c r="E547" s="121" t="s">
        <v>3198</v>
      </c>
      <c r="F547" s="38" t="s">
        <v>3199</v>
      </c>
      <c r="G547" s="33">
        <f t="shared" si="223"/>
        <v>0</v>
      </c>
      <c r="H547" s="33"/>
      <c r="I547" s="33"/>
      <c r="J547" s="33"/>
      <c r="K547" s="33"/>
      <c r="L547" s="33"/>
      <c r="M547" s="54">
        <f t="shared" si="224"/>
        <v>0</v>
      </c>
      <c r="N547" s="54"/>
      <c r="O547" s="54"/>
      <c r="P547" s="54"/>
      <c r="Q547" s="68">
        <f t="shared" si="225"/>
        <v>25</v>
      </c>
      <c r="R547" s="68"/>
      <c r="S547" s="68">
        <v>60</v>
      </c>
      <c r="T547" s="68">
        <v>35</v>
      </c>
      <c r="U547" s="129"/>
      <c r="V547" s="68">
        <f t="shared" si="226"/>
        <v>25</v>
      </c>
      <c r="W547" s="91" t="s">
        <v>3200</v>
      </c>
    </row>
    <row r="548" s="4" customFormat="1" ht="26.25" customHeight="1" spans="1:23">
      <c r="A548" s="117">
        <v>403001</v>
      </c>
      <c r="B548" s="29" t="s">
        <v>3182</v>
      </c>
      <c r="C548" s="118" t="s">
        <v>2334</v>
      </c>
      <c r="D548" s="29" t="s">
        <v>2335</v>
      </c>
      <c r="E548" s="121"/>
      <c r="F548" s="38" t="s">
        <v>3201</v>
      </c>
      <c r="G548" s="33">
        <f t="shared" si="223"/>
        <v>0</v>
      </c>
      <c r="H548" s="33"/>
      <c r="I548" s="33"/>
      <c r="J548" s="33"/>
      <c r="K548" s="33"/>
      <c r="L548" s="33"/>
      <c r="M548" s="54">
        <f t="shared" si="224"/>
        <v>0</v>
      </c>
      <c r="N548" s="54"/>
      <c r="O548" s="54"/>
      <c r="P548" s="54"/>
      <c r="Q548" s="68">
        <f t="shared" si="225"/>
        <v>0</v>
      </c>
      <c r="R548" s="68"/>
      <c r="S548" s="68"/>
      <c r="T548" s="68"/>
      <c r="U548" s="129"/>
      <c r="V548" s="68">
        <f t="shared" si="226"/>
        <v>0</v>
      </c>
      <c r="W548" s="91" t="s">
        <v>3200</v>
      </c>
    </row>
    <row r="549" s="4" customFormat="1" ht="26.25" customHeight="1" spans="1:23">
      <c r="A549" s="117">
        <v>403001</v>
      </c>
      <c r="B549" s="29" t="s">
        <v>3182</v>
      </c>
      <c r="C549" s="35" t="s">
        <v>3196</v>
      </c>
      <c r="D549" s="40" t="s">
        <v>3197</v>
      </c>
      <c r="E549" s="121"/>
      <c r="F549" s="38" t="s">
        <v>3202</v>
      </c>
      <c r="G549" s="33">
        <f t="shared" si="223"/>
        <v>0</v>
      </c>
      <c r="H549" s="33"/>
      <c r="I549" s="33"/>
      <c r="J549" s="33"/>
      <c r="K549" s="33"/>
      <c r="L549" s="33"/>
      <c r="M549" s="54">
        <f t="shared" si="224"/>
        <v>0</v>
      </c>
      <c r="N549" s="54"/>
      <c r="O549" s="54"/>
      <c r="P549" s="54"/>
      <c r="Q549" s="68">
        <f t="shared" si="225"/>
        <v>0</v>
      </c>
      <c r="R549" s="68"/>
      <c r="S549" s="68"/>
      <c r="T549" s="68"/>
      <c r="U549" s="129"/>
      <c r="V549" s="68">
        <f t="shared" si="226"/>
        <v>0</v>
      </c>
      <c r="W549" s="91" t="s">
        <v>3200</v>
      </c>
    </row>
    <row r="550" s="4" customFormat="1" ht="26.25" customHeight="1" spans="1:23">
      <c r="A550" s="115">
        <v>404001</v>
      </c>
      <c r="B550" s="23" t="s">
        <v>3203</v>
      </c>
      <c r="C550" s="116"/>
      <c r="D550" s="116"/>
      <c r="E550" s="84"/>
      <c r="F550" s="26"/>
      <c r="G550" s="27">
        <f t="shared" ref="G550:V550" si="227">SUM(G551:G574)</f>
        <v>31167.8</v>
      </c>
      <c r="H550" s="27">
        <f t="shared" si="227"/>
        <v>23117.8</v>
      </c>
      <c r="I550" s="27">
        <f t="shared" si="227"/>
        <v>8050</v>
      </c>
      <c r="J550" s="27">
        <f t="shared" si="227"/>
        <v>0</v>
      </c>
      <c r="K550" s="27">
        <f t="shared" si="227"/>
        <v>5.4</v>
      </c>
      <c r="L550" s="27">
        <f t="shared" si="227"/>
        <v>4803.6187</v>
      </c>
      <c r="M550" s="27">
        <f t="shared" si="227"/>
        <v>21500</v>
      </c>
      <c r="N550" s="27">
        <f t="shared" si="227"/>
        <v>0</v>
      </c>
      <c r="O550" s="27">
        <f t="shared" si="227"/>
        <v>21500</v>
      </c>
      <c r="P550" s="27">
        <f t="shared" si="227"/>
        <v>0</v>
      </c>
      <c r="Q550" s="27">
        <f t="shared" si="227"/>
        <v>2742.967375</v>
      </c>
      <c r="R550" s="27">
        <f t="shared" si="227"/>
        <v>0</v>
      </c>
      <c r="S550" s="27">
        <f t="shared" si="227"/>
        <v>2742.967375</v>
      </c>
      <c r="T550" s="27">
        <f t="shared" si="227"/>
        <v>0</v>
      </c>
      <c r="U550" s="27">
        <f t="shared" si="227"/>
        <v>3972</v>
      </c>
      <c r="V550" s="27">
        <f t="shared" si="227"/>
        <v>56247.786075</v>
      </c>
      <c r="W550" s="67"/>
    </row>
    <row r="551" s="4" customFormat="1" ht="26.25" customHeight="1" spans="1:23">
      <c r="A551" s="117">
        <v>404001</v>
      </c>
      <c r="B551" s="29" t="s">
        <v>3204</v>
      </c>
      <c r="C551" s="35" t="s">
        <v>2507</v>
      </c>
      <c r="D551" s="38" t="s">
        <v>2508</v>
      </c>
      <c r="E551" s="121" t="s">
        <v>3205</v>
      </c>
      <c r="F551" s="38" t="s">
        <v>3206</v>
      </c>
      <c r="G551" s="33">
        <f t="shared" ref="G551:G562" si="228">SUM(H551:J551)</f>
        <v>0</v>
      </c>
      <c r="H551" s="33"/>
      <c r="I551" s="33"/>
      <c r="J551" s="33"/>
      <c r="K551" s="33"/>
      <c r="L551" s="33"/>
      <c r="M551" s="54">
        <f t="shared" ref="M551:M562" si="229">N551+O551-P551</f>
        <v>0</v>
      </c>
      <c r="N551" s="54"/>
      <c r="O551" s="54"/>
      <c r="P551" s="54"/>
      <c r="Q551" s="68">
        <f t="shared" ref="Q551:Q562" si="230">R551+S551-T551</f>
        <v>150</v>
      </c>
      <c r="R551" s="68"/>
      <c r="S551" s="68">
        <v>150</v>
      </c>
      <c r="T551" s="68"/>
      <c r="U551" s="129"/>
      <c r="V551" s="68">
        <f t="shared" ref="V551:V562" si="231">G551+K551+L551+M551+Q551-U551</f>
        <v>150</v>
      </c>
      <c r="W551" s="91" t="s">
        <v>3174</v>
      </c>
    </row>
    <row r="552" s="4" customFormat="1" ht="26.25" customHeight="1" spans="1:23">
      <c r="A552" s="117">
        <v>404001</v>
      </c>
      <c r="B552" s="29" t="s">
        <v>3204</v>
      </c>
      <c r="C552" s="35" t="s">
        <v>2921</v>
      </c>
      <c r="D552" s="76" t="s">
        <v>2922</v>
      </c>
      <c r="E552" s="127" t="s">
        <v>3207</v>
      </c>
      <c r="F552" s="35" t="s">
        <v>1106</v>
      </c>
      <c r="G552" s="33">
        <f t="shared" si="228"/>
        <v>0</v>
      </c>
      <c r="H552" s="33"/>
      <c r="I552" s="33"/>
      <c r="J552" s="33"/>
      <c r="K552" s="33"/>
      <c r="L552" s="33"/>
      <c r="M552" s="54">
        <f t="shared" si="229"/>
        <v>5</v>
      </c>
      <c r="N552" s="54"/>
      <c r="O552" s="54">
        <v>5</v>
      </c>
      <c r="P552" s="54"/>
      <c r="Q552" s="68">
        <f t="shared" si="230"/>
        <v>0</v>
      </c>
      <c r="R552" s="68"/>
      <c r="S552" s="68"/>
      <c r="T552" s="68"/>
      <c r="U552" s="129"/>
      <c r="V552" s="54">
        <f t="shared" si="231"/>
        <v>5</v>
      </c>
      <c r="W552" s="92" t="s">
        <v>624</v>
      </c>
    </row>
    <row r="553" s="4" customFormat="1" ht="26.25" customHeight="1" spans="1:23">
      <c r="A553" s="117">
        <v>404001</v>
      </c>
      <c r="B553" s="29" t="s">
        <v>3204</v>
      </c>
      <c r="C553" s="118" t="s">
        <v>3208</v>
      </c>
      <c r="D553" s="120" t="s">
        <v>2083</v>
      </c>
      <c r="E553" s="37" t="s">
        <v>3209</v>
      </c>
      <c r="F553" s="32" t="s">
        <v>3210</v>
      </c>
      <c r="G553" s="33">
        <f t="shared" si="228"/>
        <v>36</v>
      </c>
      <c r="H553" s="33">
        <v>36</v>
      </c>
      <c r="I553" s="33"/>
      <c r="J553" s="33"/>
      <c r="K553" s="33"/>
      <c r="L553" s="33"/>
      <c r="M553" s="54">
        <f t="shared" si="229"/>
        <v>0</v>
      </c>
      <c r="N553" s="54"/>
      <c r="O553" s="54"/>
      <c r="P553" s="54"/>
      <c r="Q553" s="68">
        <f t="shared" si="230"/>
        <v>0</v>
      </c>
      <c r="R553" s="68"/>
      <c r="S553" s="68"/>
      <c r="T553" s="68"/>
      <c r="U553" s="129"/>
      <c r="V553" s="70">
        <f t="shared" si="231"/>
        <v>36</v>
      </c>
      <c r="W553" s="130" t="s">
        <v>2283</v>
      </c>
    </row>
    <row r="554" s="4" customFormat="1" ht="26.25" customHeight="1" spans="1:23">
      <c r="A554" s="117">
        <v>404001</v>
      </c>
      <c r="B554" s="29" t="s">
        <v>3204</v>
      </c>
      <c r="C554" s="118" t="s">
        <v>3208</v>
      </c>
      <c r="D554" s="119" t="s">
        <v>2083</v>
      </c>
      <c r="E554" s="30" t="s">
        <v>3211</v>
      </c>
      <c r="F554" s="32" t="s">
        <v>3212</v>
      </c>
      <c r="G554" s="33">
        <f t="shared" si="228"/>
        <v>13</v>
      </c>
      <c r="H554" s="33">
        <v>13</v>
      </c>
      <c r="I554" s="33"/>
      <c r="J554" s="33"/>
      <c r="K554" s="33"/>
      <c r="L554" s="33"/>
      <c r="M554" s="54">
        <f t="shared" si="229"/>
        <v>0</v>
      </c>
      <c r="N554" s="54"/>
      <c r="O554" s="54"/>
      <c r="P554" s="54"/>
      <c r="Q554" s="68">
        <f t="shared" si="230"/>
        <v>0</v>
      </c>
      <c r="R554" s="68"/>
      <c r="S554" s="68"/>
      <c r="T554" s="68"/>
      <c r="U554" s="129"/>
      <c r="V554" s="33">
        <f t="shared" si="231"/>
        <v>13</v>
      </c>
      <c r="W554" s="130" t="s">
        <v>2283</v>
      </c>
    </row>
    <row r="555" s="4" customFormat="1" ht="26.25" customHeight="1" spans="1:23">
      <c r="A555" s="117">
        <v>404001</v>
      </c>
      <c r="B555" s="29" t="s">
        <v>3204</v>
      </c>
      <c r="C555" s="118" t="s">
        <v>3208</v>
      </c>
      <c r="D555" s="119" t="s">
        <v>2083</v>
      </c>
      <c r="E555" s="30" t="s">
        <v>3213</v>
      </c>
      <c r="F555" s="32" t="s">
        <v>3214</v>
      </c>
      <c r="G555" s="33">
        <f t="shared" si="228"/>
        <v>1.6</v>
      </c>
      <c r="H555" s="33">
        <v>1.6</v>
      </c>
      <c r="I555" s="33"/>
      <c r="J555" s="33"/>
      <c r="K555" s="33"/>
      <c r="L555" s="33"/>
      <c r="M555" s="54">
        <f t="shared" si="229"/>
        <v>0</v>
      </c>
      <c r="N555" s="54"/>
      <c r="O555" s="54"/>
      <c r="P555" s="54"/>
      <c r="Q555" s="68">
        <f t="shared" si="230"/>
        <v>0</v>
      </c>
      <c r="R555" s="68"/>
      <c r="S555" s="68"/>
      <c r="T555" s="68"/>
      <c r="U555" s="129"/>
      <c r="V555" s="33">
        <f t="shared" si="231"/>
        <v>1.6</v>
      </c>
      <c r="W555" s="130" t="s">
        <v>2283</v>
      </c>
    </row>
    <row r="556" s="4" customFormat="1" ht="26.25" customHeight="1" spans="1:23">
      <c r="A556" s="117">
        <v>404001</v>
      </c>
      <c r="B556" s="29" t="s">
        <v>3204</v>
      </c>
      <c r="C556" s="118" t="s">
        <v>3208</v>
      </c>
      <c r="D556" s="119" t="s">
        <v>2083</v>
      </c>
      <c r="E556" s="30" t="s">
        <v>3215</v>
      </c>
      <c r="F556" s="32" t="s">
        <v>3216</v>
      </c>
      <c r="G556" s="33">
        <f t="shared" si="228"/>
        <v>16</v>
      </c>
      <c r="H556" s="33">
        <v>16</v>
      </c>
      <c r="I556" s="33"/>
      <c r="J556" s="33"/>
      <c r="K556" s="33"/>
      <c r="L556" s="33"/>
      <c r="M556" s="54">
        <f t="shared" si="229"/>
        <v>0</v>
      </c>
      <c r="N556" s="54"/>
      <c r="O556" s="54"/>
      <c r="P556" s="54"/>
      <c r="Q556" s="68">
        <f t="shared" si="230"/>
        <v>0</v>
      </c>
      <c r="R556" s="68"/>
      <c r="S556" s="68"/>
      <c r="T556" s="68"/>
      <c r="U556" s="129"/>
      <c r="V556" s="33">
        <f t="shared" si="231"/>
        <v>16</v>
      </c>
      <c r="W556" s="130" t="s">
        <v>2283</v>
      </c>
    </row>
    <row r="557" s="4" customFormat="1" ht="26.25" customHeight="1" spans="1:23">
      <c r="A557" s="117">
        <v>404001</v>
      </c>
      <c r="B557" s="29" t="s">
        <v>3204</v>
      </c>
      <c r="C557" s="118" t="s">
        <v>3208</v>
      </c>
      <c r="D557" s="119" t="s">
        <v>2083</v>
      </c>
      <c r="E557" s="30" t="s">
        <v>3217</v>
      </c>
      <c r="F557" s="32" t="s">
        <v>3218</v>
      </c>
      <c r="G557" s="33">
        <f t="shared" si="228"/>
        <v>2.2</v>
      </c>
      <c r="H557" s="33">
        <v>2.2</v>
      </c>
      <c r="I557" s="33"/>
      <c r="J557" s="33"/>
      <c r="K557" s="33"/>
      <c r="L557" s="33"/>
      <c r="M557" s="54">
        <f t="shared" si="229"/>
        <v>0</v>
      </c>
      <c r="N557" s="54"/>
      <c r="O557" s="54"/>
      <c r="P557" s="54"/>
      <c r="Q557" s="68">
        <f t="shared" si="230"/>
        <v>0</v>
      </c>
      <c r="R557" s="68"/>
      <c r="S557" s="68"/>
      <c r="T557" s="68"/>
      <c r="U557" s="129"/>
      <c r="V557" s="33">
        <f t="shared" si="231"/>
        <v>2.2</v>
      </c>
      <c r="W557" s="130" t="s">
        <v>2283</v>
      </c>
    </row>
    <row r="558" s="4" customFormat="1" ht="26.25" customHeight="1" spans="1:23">
      <c r="A558" s="117">
        <v>404001</v>
      </c>
      <c r="B558" s="29" t="s">
        <v>3204</v>
      </c>
      <c r="C558" s="118" t="s">
        <v>3208</v>
      </c>
      <c r="D558" s="29" t="s">
        <v>2083</v>
      </c>
      <c r="E558" s="30" t="s">
        <v>3219</v>
      </c>
      <c r="F558" s="32" t="s">
        <v>3220</v>
      </c>
      <c r="G558" s="33">
        <f t="shared" si="228"/>
        <v>40</v>
      </c>
      <c r="H558" s="33">
        <v>40</v>
      </c>
      <c r="I558" s="33"/>
      <c r="J558" s="33"/>
      <c r="K558" s="33"/>
      <c r="L558" s="33"/>
      <c r="M558" s="54">
        <f t="shared" si="229"/>
        <v>0</v>
      </c>
      <c r="N558" s="54"/>
      <c r="O558" s="54"/>
      <c r="P558" s="54"/>
      <c r="Q558" s="68">
        <f t="shared" si="230"/>
        <v>0</v>
      </c>
      <c r="R558" s="68"/>
      <c r="S558" s="68"/>
      <c r="T558" s="68"/>
      <c r="U558" s="129"/>
      <c r="V558" s="33">
        <f t="shared" si="231"/>
        <v>40</v>
      </c>
      <c r="W558" s="130" t="s">
        <v>2283</v>
      </c>
    </row>
    <row r="559" s="4" customFormat="1" ht="26.25" customHeight="1" spans="1:23">
      <c r="A559" s="117">
        <v>404001</v>
      </c>
      <c r="B559" s="29" t="s">
        <v>3204</v>
      </c>
      <c r="C559" s="118" t="s">
        <v>3208</v>
      </c>
      <c r="D559" s="29" t="s">
        <v>2083</v>
      </c>
      <c r="E559" s="30" t="s">
        <v>3221</v>
      </c>
      <c r="F559" s="32" t="s">
        <v>3222</v>
      </c>
      <c r="G559" s="33">
        <f t="shared" si="228"/>
        <v>50</v>
      </c>
      <c r="H559" s="33"/>
      <c r="I559" s="33">
        <v>50</v>
      </c>
      <c r="J559" s="33"/>
      <c r="K559" s="33"/>
      <c r="L559" s="33"/>
      <c r="M559" s="54">
        <f t="shared" si="229"/>
        <v>0</v>
      </c>
      <c r="N559" s="54"/>
      <c r="O559" s="54"/>
      <c r="P559" s="54"/>
      <c r="Q559" s="68">
        <f t="shared" si="230"/>
        <v>0</v>
      </c>
      <c r="R559" s="68"/>
      <c r="S559" s="68"/>
      <c r="T559" s="68"/>
      <c r="U559" s="129"/>
      <c r="V559" s="33">
        <f t="shared" si="231"/>
        <v>50</v>
      </c>
      <c r="W559" s="130" t="s">
        <v>2283</v>
      </c>
    </row>
    <row r="560" s="4" customFormat="1" ht="26.25" customHeight="1" spans="1:23">
      <c r="A560" s="117">
        <v>404001</v>
      </c>
      <c r="B560" s="29" t="s">
        <v>3204</v>
      </c>
      <c r="C560" s="118" t="s">
        <v>3208</v>
      </c>
      <c r="D560" s="119" t="s">
        <v>2083</v>
      </c>
      <c r="E560" s="121" t="s">
        <v>3223</v>
      </c>
      <c r="F560" s="35" t="s">
        <v>2317</v>
      </c>
      <c r="G560" s="33">
        <f t="shared" si="228"/>
        <v>0</v>
      </c>
      <c r="H560" s="33"/>
      <c r="I560" s="33"/>
      <c r="J560" s="33"/>
      <c r="K560" s="55">
        <v>5.4</v>
      </c>
      <c r="L560" s="33"/>
      <c r="M560" s="54">
        <f t="shared" si="229"/>
        <v>0</v>
      </c>
      <c r="N560" s="54"/>
      <c r="O560" s="54"/>
      <c r="P560" s="54"/>
      <c r="Q560" s="68">
        <f t="shared" si="230"/>
        <v>0</v>
      </c>
      <c r="R560" s="68"/>
      <c r="S560" s="68"/>
      <c r="T560" s="68"/>
      <c r="U560" s="129"/>
      <c r="V560" s="33">
        <f t="shared" si="231"/>
        <v>5.4</v>
      </c>
      <c r="W560" s="130" t="s">
        <v>2283</v>
      </c>
    </row>
    <row r="561" s="4" customFormat="1" ht="26.25" customHeight="1" spans="1:23">
      <c r="A561" s="117">
        <v>404001</v>
      </c>
      <c r="B561" s="29" t="s">
        <v>3204</v>
      </c>
      <c r="C561" s="124">
        <v>2120303</v>
      </c>
      <c r="D561" s="119"/>
      <c r="E561" s="121"/>
      <c r="F561" s="35" t="s">
        <v>1258</v>
      </c>
      <c r="G561" s="33">
        <f t="shared" si="228"/>
        <v>0</v>
      </c>
      <c r="H561" s="33"/>
      <c r="I561" s="33"/>
      <c r="J561" s="33"/>
      <c r="K561" s="33"/>
      <c r="L561" s="33"/>
      <c r="M561" s="54">
        <f t="shared" si="229"/>
        <v>2495</v>
      </c>
      <c r="N561" s="54"/>
      <c r="O561" s="54">
        <v>2495</v>
      </c>
      <c r="P561" s="54"/>
      <c r="Q561" s="68">
        <f t="shared" si="230"/>
        <v>0</v>
      </c>
      <c r="R561" s="68"/>
      <c r="S561" s="68"/>
      <c r="T561" s="68"/>
      <c r="U561" s="129"/>
      <c r="V561" s="33">
        <f t="shared" si="231"/>
        <v>2495</v>
      </c>
      <c r="W561" s="130" t="s">
        <v>2283</v>
      </c>
    </row>
    <row r="562" s="4" customFormat="1" ht="26.25" customHeight="1" spans="1:23">
      <c r="A562" s="117">
        <v>404001</v>
      </c>
      <c r="B562" s="29" t="s">
        <v>3204</v>
      </c>
      <c r="C562" s="124">
        <v>2120399</v>
      </c>
      <c r="D562" s="119" t="s">
        <v>3224</v>
      </c>
      <c r="E562" s="121"/>
      <c r="F562" s="35" t="s">
        <v>1260</v>
      </c>
      <c r="G562" s="33">
        <f t="shared" si="228"/>
        <v>0</v>
      </c>
      <c r="H562" s="33"/>
      <c r="I562" s="33"/>
      <c r="J562" s="33"/>
      <c r="K562" s="33"/>
      <c r="L562" s="33"/>
      <c r="M562" s="54">
        <f t="shared" si="229"/>
        <v>19000</v>
      </c>
      <c r="N562" s="54"/>
      <c r="O562" s="54">
        <v>19000</v>
      </c>
      <c r="P562" s="54"/>
      <c r="Q562" s="68">
        <f t="shared" si="230"/>
        <v>0</v>
      </c>
      <c r="R562" s="68"/>
      <c r="S562" s="68"/>
      <c r="T562" s="68"/>
      <c r="U562" s="129"/>
      <c r="V562" s="33">
        <f t="shared" si="231"/>
        <v>19000</v>
      </c>
      <c r="W562" s="130" t="s">
        <v>2283</v>
      </c>
    </row>
    <row r="563" s="4" customFormat="1" ht="26.25" customHeight="1" spans="1:23">
      <c r="A563" s="117">
        <v>404001</v>
      </c>
      <c r="B563" s="29" t="s">
        <v>3204</v>
      </c>
      <c r="C563" s="118" t="s">
        <v>3225</v>
      </c>
      <c r="D563" s="86" t="s">
        <v>3224</v>
      </c>
      <c r="E563" s="121" t="s">
        <v>3226</v>
      </c>
      <c r="F563" s="38" t="s">
        <v>3227</v>
      </c>
      <c r="G563" s="33">
        <f t="shared" ref="G563:G573" si="232">SUM(H563:J563)</f>
        <v>0</v>
      </c>
      <c r="H563" s="33"/>
      <c r="I563" s="33"/>
      <c r="J563" s="33"/>
      <c r="K563" s="33"/>
      <c r="L563" s="33"/>
      <c r="M563" s="54">
        <f t="shared" ref="M563:M573" si="233">N563+O563-P563</f>
        <v>0</v>
      </c>
      <c r="N563" s="54"/>
      <c r="O563" s="54"/>
      <c r="P563" s="54"/>
      <c r="Q563" s="68">
        <f t="shared" ref="Q563:Q573" si="234">R563+S563-T563</f>
        <v>291.28</v>
      </c>
      <c r="R563" s="68"/>
      <c r="S563" s="68">
        <v>291.28</v>
      </c>
      <c r="T563" s="68"/>
      <c r="U563" s="129"/>
      <c r="V563" s="68">
        <f t="shared" ref="V563:V574" si="235">G563+K563+L563+M563+Q563-U563</f>
        <v>291.28</v>
      </c>
      <c r="W563" s="91" t="s">
        <v>3228</v>
      </c>
    </row>
    <row r="564" s="4" customFormat="1" ht="26.25" customHeight="1" spans="1:23">
      <c r="A564" s="117">
        <v>404001</v>
      </c>
      <c r="B564" s="29" t="s">
        <v>3204</v>
      </c>
      <c r="C564" s="118" t="s">
        <v>3225</v>
      </c>
      <c r="D564" s="86" t="s">
        <v>3224</v>
      </c>
      <c r="E564" s="121" t="s">
        <v>3229</v>
      </c>
      <c r="F564" s="38" t="s">
        <v>3230</v>
      </c>
      <c r="G564" s="33">
        <f t="shared" si="232"/>
        <v>0</v>
      </c>
      <c r="H564" s="33"/>
      <c r="I564" s="33"/>
      <c r="J564" s="33"/>
      <c r="K564" s="33"/>
      <c r="L564" s="33"/>
      <c r="M564" s="54">
        <f t="shared" si="233"/>
        <v>0</v>
      </c>
      <c r="N564" s="54"/>
      <c r="O564" s="54"/>
      <c r="P564" s="54"/>
      <c r="Q564" s="68">
        <f t="shared" si="234"/>
        <v>490</v>
      </c>
      <c r="R564" s="68"/>
      <c r="S564" s="68">
        <v>490</v>
      </c>
      <c r="T564" s="68"/>
      <c r="U564" s="129"/>
      <c r="V564" s="68">
        <f t="shared" si="235"/>
        <v>490</v>
      </c>
      <c r="W564" s="91" t="s">
        <v>3228</v>
      </c>
    </row>
    <row r="565" s="4" customFormat="1" ht="26.25" customHeight="1" spans="1:23">
      <c r="A565" s="117">
        <v>404001</v>
      </c>
      <c r="B565" s="29" t="s">
        <v>3204</v>
      </c>
      <c r="C565" s="118" t="s">
        <v>3225</v>
      </c>
      <c r="D565" s="29" t="s">
        <v>3224</v>
      </c>
      <c r="E565" s="30" t="s">
        <v>3231</v>
      </c>
      <c r="F565" s="32" t="s">
        <v>1053</v>
      </c>
      <c r="G565" s="33">
        <f t="shared" si="232"/>
        <v>20000</v>
      </c>
      <c r="H565" s="33">
        <v>20000</v>
      </c>
      <c r="I565" s="33"/>
      <c r="J565" s="33"/>
      <c r="K565" s="33"/>
      <c r="L565" s="33"/>
      <c r="M565" s="54">
        <f t="shared" si="233"/>
        <v>0</v>
      </c>
      <c r="N565" s="54"/>
      <c r="O565" s="54"/>
      <c r="P565" s="54"/>
      <c r="Q565" s="68">
        <f t="shared" si="234"/>
        <v>0</v>
      </c>
      <c r="R565" s="68"/>
      <c r="S565" s="68"/>
      <c r="T565" s="68"/>
      <c r="U565" s="129">
        <v>2972</v>
      </c>
      <c r="V565" s="33">
        <f t="shared" si="235"/>
        <v>17028</v>
      </c>
      <c r="W565" s="130" t="s">
        <v>2283</v>
      </c>
    </row>
    <row r="566" s="4" customFormat="1" ht="26.25" customHeight="1" spans="1:23">
      <c r="A566" s="117">
        <v>404001</v>
      </c>
      <c r="B566" s="29" t="s">
        <v>3204</v>
      </c>
      <c r="C566" s="118" t="s">
        <v>3225</v>
      </c>
      <c r="D566" s="29" t="s">
        <v>3224</v>
      </c>
      <c r="E566" s="30" t="s">
        <v>3232</v>
      </c>
      <c r="F566" s="32" t="s">
        <v>3233</v>
      </c>
      <c r="G566" s="33">
        <f t="shared" si="232"/>
        <v>8000</v>
      </c>
      <c r="H566" s="33"/>
      <c r="I566" s="33">
        <v>8000</v>
      </c>
      <c r="J566" s="33"/>
      <c r="K566" s="33"/>
      <c r="L566" s="33"/>
      <c r="M566" s="54">
        <f t="shared" si="233"/>
        <v>0</v>
      </c>
      <c r="N566" s="54"/>
      <c r="O566" s="54"/>
      <c r="P566" s="54"/>
      <c r="Q566" s="68">
        <f t="shared" si="234"/>
        <v>0</v>
      </c>
      <c r="R566" s="68"/>
      <c r="S566" s="68"/>
      <c r="T566" s="68"/>
      <c r="U566" s="129"/>
      <c r="V566" s="33">
        <f t="shared" si="235"/>
        <v>8000</v>
      </c>
      <c r="W566" s="130" t="s">
        <v>2283</v>
      </c>
    </row>
    <row r="567" s="4" customFormat="1" ht="26.25" customHeight="1" spans="1:23">
      <c r="A567" s="117">
        <v>404001</v>
      </c>
      <c r="B567" s="29" t="s">
        <v>3204</v>
      </c>
      <c r="C567" s="118" t="s">
        <v>3225</v>
      </c>
      <c r="D567" s="29" t="s">
        <v>3224</v>
      </c>
      <c r="E567" s="30" t="s">
        <v>3234</v>
      </c>
      <c r="F567" s="118" t="s">
        <v>3235</v>
      </c>
      <c r="G567" s="33">
        <f t="shared" si="232"/>
        <v>1000</v>
      </c>
      <c r="H567" s="33">
        <v>1000</v>
      </c>
      <c r="I567" s="33"/>
      <c r="J567" s="33"/>
      <c r="K567" s="33"/>
      <c r="L567" s="128">
        <f>828.7387+3400</f>
        <v>4228.7387</v>
      </c>
      <c r="M567" s="54">
        <f t="shared" si="233"/>
        <v>0</v>
      </c>
      <c r="N567" s="54"/>
      <c r="O567" s="54"/>
      <c r="P567" s="54"/>
      <c r="Q567" s="68">
        <f t="shared" si="234"/>
        <v>0</v>
      </c>
      <c r="R567" s="68"/>
      <c r="S567" s="68"/>
      <c r="T567" s="68"/>
      <c r="U567" s="129"/>
      <c r="V567" s="33">
        <f t="shared" si="235"/>
        <v>5228.7387</v>
      </c>
      <c r="W567" s="130" t="s">
        <v>2283</v>
      </c>
    </row>
    <row r="568" s="4" customFormat="1" ht="26.25" customHeight="1" spans="1:23">
      <c r="A568" s="117">
        <v>404001</v>
      </c>
      <c r="B568" s="29" t="s">
        <v>3204</v>
      </c>
      <c r="C568" s="118" t="s">
        <v>3236</v>
      </c>
      <c r="D568" s="29" t="s">
        <v>3237</v>
      </c>
      <c r="E568" s="30" t="s">
        <v>3238</v>
      </c>
      <c r="F568" s="32" t="s">
        <v>1054</v>
      </c>
      <c r="G568" s="33">
        <f t="shared" si="232"/>
        <v>2000</v>
      </c>
      <c r="H568" s="33">
        <v>2000</v>
      </c>
      <c r="I568" s="33"/>
      <c r="J568" s="33"/>
      <c r="K568" s="33"/>
      <c r="L568" s="33"/>
      <c r="M568" s="54">
        <f t="shared" si="233"/>
        <v>0</v>
      </c>
      <c r="N568" s="54"/>
      <c r="O568" s="54"/>
      <c r="P568" s="54"/>
      <c r="Q568" s="68">
        <f t="shared" si="234"/>
        <v>0</v>
      </c>
      <c r="R568" s="68"/>
      <c r="S568" s="68"/>
      <c r="T568" s="68"/>
      <c r="U568" s="141">
        <v>1000</v>
      </c>
      <c r="V568" s="33">
        <f t="shared" si="235"/>
        <v>1000</v>
      </c>
      <c r="W568" s="130" t="s">
        <v>2283</v>
      </c>
    </row>
    <row r="569" s="4" customFormat="1" ht="26.25" customHeight="1" spans="1:23">
      <c r="A569" s="117">
        <v>404001</v>
      </c>
      <c r="B569" s="29" t="s">
        <v>3204</v>
      </c>
      <c r="C569" s="118" t="s">
        <v>3236</v>
      </c>
      <c r="D569" s="29" t="s">
        <v>3237</v>
      </c>
      <c r="E569" s="30"/>
      <c r="F569" s="32" t="s">
        <v>1051</v>
      </c>
      <c r="G569" s="33"/>
      <c r="H569" s="33"/>
      <c r="I569" s="33"/>
      <c r="J569" s="33"/>
      <c r="K569" s="33"/>
      <c r="L569" s="33">
        <v>562</v>
      </c>
      <c r="M569" s="54"/>
      <c r="N569" s="54"/>
      <c r="O569" s="54"/>
      <c r="P569" s="54"/>
      <c r="Q569" s="68"/>
      <c r="R569" s="68"/>
      <c r="S569" s="68"/>
      <c r="T569" s="68"/>
      <c r="U569" s="129"/>
      <c r="V569" s="33">
        <f t="shared" si="235"/>
        <v>562</v>
      </c>
      <c r="W569" s="130" t="s">
        <v>2283</v>
      </c>
    </row>
    <row r="570" s="4" customFormat="1" ht="26.25" customHeight="1" spans="1:23">
      <c r="A570" s="117">
        <v>404001</v>
      </c>
      <c r="B570" s="29" t="s">
        <v>3204</v>
      </c>
      <c r="C570" s="35" t="s">
        <v>3239</v>
      </c>
      <c r="D570" s="38" t="s">
        <v>3240</v>
      </c>
      <c r="E570" s="121" t="s">
        <v>3241</v>
      </c>
      <c r="F570" s="38" t="s">
        <v>3242</v>
      </c>
      <c r="G570" s="33">
        <f>SUM(H570:J570)</f>
        <v>0</v>
      </c>
      <c r="H570" s="33"/>
      <c r="I570" s="33"/>
      <c r="J570" s="33"/>
      <c r="K570" s="33"/>
      <c r="L570" s="33"/>
      <c r="M570" s="54">
        <f>N570+O570-P570</f>
        <v>0</v>
      </c>
      <c r="N570" s="54"/>
      <c r="O570" s="54"/>
      <c r="P570" s="54"/>
      <c r="Q570" s="68">
        <f>R570+S570-T570</f>
        <v>1725.287375</v>
      </c>
      <c r="R570" s="68"/>
      <c r="S570" s="68">
        <v>1725.287375</v>
      </c>
      <c r="T570" s="68"/>
      <c r="U570" s="129"/>
      <c r="V570" s="68">
        <f t="shared" si="235"/>
        <v>1725.287375</v>
      </c>
      <c r="W570" s="91" t="s">
        <v>3243</v>
      </c>
    </row>
    <row r="571" s="4" customFormat="1" ht="26.25" customHeight="1" spans="1:23">
      <c r="A571" s="117">
        <v>404001</v>
      </c>
      <c r="B571" s="29" t="s">
        <v>3204</v>
      </c>
      <c r="C571" s="118" t="s">
        <v>3244</v>
      </c>
      <c r="D571" s="119" t="s">
        <v>3245</v>
      </c>
      <c r="E571" s="30" t="s">
        <v>3246</v>
      </c>
      <c r="F571" s="32" t="s">
        <v>3247</v>
      </c>
      <c r="G571" s="33">
        <f>SUM(H571:J571)</f>
        <v>9</v>
      </c>
      <c r="H571" s="33">
        <v>9</v>
      </c>
      <c r="I571" s="33"/>
      <c r="J571" s="33"/>
      <c r="K571" s="33"/>
      <c r="L571" s="33"/>
      <c r="M571" s="54">
        <f>N571+O571-P571</f>
        <v>0</v>
      </c>
      <c r="N571" s="54"/>
      <c r="O571" s="54"/>
      <c r="P571" s="54"/>
      <c r="Q571" s="68">
        <f>R571+S571-T571</f>
        <v>0</v>
      </c>
      <c r="R571" s="68"/>
      <c r="S571" s="68"/>
      <c r="T571" s="68"/>
      <c r="U571" s="129"/>
      <c r="V571" s="33">
        <f t="shared" si="235"/>
        <v>9</v>
      </c>
      <c r="W571" s="130" t="s">
        <v>2283</v>
      </c>
    </row>
    <row r="572" s="4" customFormat="1" ht="26.25" customHeight="1" spans="1:23">
      <c r="A572" s="117">
        <v>404001</v>
      </c>
      <c r="B572" s="29" t="s">
        <v>3204</v>
      </c>
      <c r="C572" s="118" t="s">
        <v>3208</v>
      </c>
      <c r="D572" s="29" t="s">
        <v>2083</v>
      </c>
      <c r="E572" s="121"/>
      <c r="F572" s="38" t="s">
        <v>1050</v>
      </c>
      <c r="G572" s="33">
        <f>SUM(H572:J572)</f>
        <v>0</v>
      </c>
      <c r="H572" s="33"/>
      <c r="I572" s="33"/>
      <c r="J572" s="33"/>
      <c r="K572" s="33"/>
      <c r="L572" s="33">
        <v>12.88</v>
      </c>
      <c r="M572" s="54">
        <f>N572+O572-P572</f>
        <v>0</v>
      </c>
      <c r="N572" s="54"/>
      <c r="O572" s="54"/>
      <c r="P572" s="54"/>
      <c r="Q572" s="68">
        <f>R572+S572-T572</f>
        <v>0</v>
      </c>
      <c r="R572" s="68"/>
      <c r="S572" s="68"/>
      <c r="T572" s="68"/>
      <c r="U572" s="129"/>
      <c r="V572" s="68">
        <f t="shared" si="235"/>
        <v>12.88</v>
      </c>
      <c r="W572" s="142"/>
    </row>
    <row r="573" s="4" customFormat="1" ht="26.25" customHeight="1" spans="1:23">
      <c r="A573" s="117">
        <v>404001</v>
      </c>
      <c r="B573" s="29" t="s">
        <v>3204</v>
      </c>
      <c r="C573" s="40" t="s">
        <v>3248</v>
      </c>
      <c r="D573" s="40" t="s">
        <v>3249</v>
      </c>
      <c r="E573" s="40" t="s">
        <v>3250</v>
      </c>
      <c r="F573" s="40" t="s">
        <v>3251</v>
      </c>
      <c r="G573" s="33">
        <f>SUM(H573:J573)</f>
        <v>0</v>
      </c>
      <c r="H573" s="33"/>
      <c r="I573" s="33"/>
      <c r="J573" s="33"/>
      <c r="K573" s="33"/>
      <c r="L573" s="33"/>
      <c r="M573" s="54">
        <f>N573+O573-P573</f>
        <v>0</v>
      </c>
      <c r="N573" s="54"/>
      <c r="O573" s="54"/>
      <c r="P573" s="54"/>
      <c r="Q573" s="68">
        <f>R573+S573-T573</f>
        <v>20</v>
      </c>
      <c r="R573" s="68"/>
      <c r="S573" s="68">
        <v>20</v>
      </c>
      <c r="T573" s="68"/>
      <c r="U573" s="129"/>
      <c r="V573" s="68">
        <f t="shared" si="235"/>
        <v>20</v>
      </c>
      <c r="W573" s="91" t="s">
        <v>3252</v>
      </c>
    </row>
    <row r="574" s="4" customFormat="1" ht="26.25" customHeight="1" spans="1:23">
      <c r="A574" s="117">
        <v>404001</v>
      </c>
      <c r="B574" s="29" t="s">
        <v>3204</v>
      </c>
      <c r="C574" s="40" t="s">
        <v>3253</v>
      </c>
      <c r="D574" s="40" t="s">
        <v>3254</v>
      </c>
      <c r="E574" s="40" t="s">
        <v>3255</v>
      </c>
      <c r="F574" s="40" t="s">
        <v>3256</v>
      </c>
      <c r="G574" s="33">
        <f>SUM(H574:J574)</f>
        <v>0</v>
      </c>
      <c r="H574" s="33"/>
      <c r="I574" s="33"/>
      <c r="J574" s="33"/>
      <c r="K574" s="33"/>
      <c r="L574" s="33"/>
      <c r="M574" s="54">
        <f>N574+O574-P574</f>
        <v>0</v>
      </c>
      <c r="N574" s="54"/>
      <c r="O574" s="54"/>
      <c r="P574" s="54"/>
      <c r="Q574" s="68">
        <f>R574+S574-T574</f>
        <v>66.4</v>
      </c>
      <c r="R574" s="68"/>
      <c r="S574" s="68">
        <v>66.4</v>
      </c>
      <c r="T574" s="68"/>
      <c r="U574" s="129"/>
      <c r="V574" s="68">
        <f t="shared" si="235"/>
        <v>66.4</v>
      </c>
      <c r="W574" s="91" t="s">
        <v>3257</v>
      </c>
    </row>
    <row r="575" s="4" customFormat="1" ht="26.25" customHeight="1" spans="1:23">
      <c r="A575" s="115">
        <v>405001</v>
      </c>
      <c r="B575" s="23" t="s">
        <v>3258</v>
      </c>
      <c r="C575" s="116"/>
      <c r="D575" s="116"/>
      <c r="E575" s="84"/>
      <c r="F575" s="26"/>
      <c r="G575" s="27">
        <f t="shared" ref="G575:V575" si="236">SUM(G576:G583)</f>
        <v>0</v>
      </c>
      <c r="H575" s="27">
        <f t="shared" si="236"/>
        <v>0</v>
      </c>
      <c r="I575" s="27">
        <f t="shared" si="236"/>
        <v>0</v>
      </c>
      <c r="J575" s="27">
        <f t="shared" si="236"/>
        <v>0</v>
      </c>
      <c r="K575" s="27">
        <f t="shared" si="236"/>
        <v>993.1</v>
      </c>
      <c r="L575" s="27">
        <f t="shared" si="236"/>
        <v>7084.2</v>
      </c>
      <c r="M575" s="27">
        <f t="shared" si="236"/>
        <v>70011</v>
      </c>
      <c r="N575" s="27">
        <f t="shared" si="236"/>
        <v>0</v>
      </c>
      <c r="O575" s="27">
        <f t="shared" si="236"/>
        <v>70011</v>
      </c>
      <c r="P575" s="27">
        <f t="shared" si="236"/>
        <v>0</v>
      </c>
      <c r="Q575" s="27">
        <f t="shared" si="236"/>
        <v>0</v>
      </c>
      <c r="R575" s="27">
        <f t="shared" si="236"/>
        <v>0</v>
      </c>
      <c r="S575" s="27">
        <f t="shared" si="236"/>
        <v>0</v>
      </c>
      <c r="T575" s="27">
        <f t="shared" si="236"/>
        <v>0</v>
      </c>
      <c r="U575" s="27">
        <f t="shared" si="236"/>
        <v>0</v>
      </c>
      <c r="V575" s="27">
        <f t="shared" si="236"/>
        <v>78088.3</v>
      </c>
      <c r="W575" s="67"/>
    </row>
    <row r="576" s="4" customFormat="1" ht="26.25" customHeight="1" spans="1:23">
      <c r="A576" s="117">
        <v>405001</v>
      </c>
      <c r="B576" s="29" t="s">
        <v>3259</v>
      </c>
      <c r="C576" s="35" t="s">
        <v>3208</v>
      </c>
      <c r="D576" s="47" t="s">
        <v>2083</v>
      </c>
      <c r="E576" s="121" t="s">
        <v>3260</v>
      </c>
      <c r="F576" s="35" t="s">
        <v>2317</v>
      </c>
      <c r="G576" s="33">
        <f t="shared" ref="G576:G583" si="237">SUM(H576:J576)</f>
        <v>0</v>
      </c>
      <c r="H576" s="33"/>
      <c r="I576" s="33"/>
      <c r="J576" s="33"/>
      <c r="K576" s="55">
        <v>3.1</v>
      </c>
      <c r="L576" s="33"/>
      <c r="M576" s="54">
        <f t="shared" ref="M576:M583" si="238">N576+O576-P576</f>
        <v>0</v>
      </c>
      <c r="N576" s="54"/>
      <c r="O576" s="54"/>
      <c r="P576" s="54"/>
      <c r="Q576" s="68">
        <f t="shared" ref="Q576:Q583" si="239">R576+S576-T576</f>
        <v>0</v>
      </c>
      <c r="R576" s="68"/>
      <c r="S576" s="68"/>
      <c r="T576" s="68"/>
      <c r="U576" s="129"/>
      <c r="V576" s="33">
        <f t="shared" ref="V576:V583" si="240">G576+K576+L576+M576+Q576-U576</f>
        <v>3.1</v>
      </c>
      <c r="W576" s="130" t="s">
        <v>2283</v>
      </c>
    </row>
    <row r="577" s="4" customFormat="1" ht="26.25" customHeight="1" spans="1:23">
      <c r="A577" s="117">
        <v>405001</v>
      </c>
      <c r="B577" s="29" t="s">
        <v>3259</v>
      </c>
      <c r="C577" s="35" t="s">
        <v>3208</v>
      </c>
      <c r="D577" s="132" t="s">
        <v>2083</v>
      </c>
      <c r="E577" s="127" t="s">
        <v>3261</v>
      </c>
      <c r="F577" s="35" t="s">
        <v>956</v>
      </c>
      <c r="G577" s="33">
        <f t="shared" si="237"/>
        <v>0</v>
      </c>
      <c r="H577" s="33"/>
      <c r="I577" s="33"/>
      <c r="J577" s="33"/>
      <c r="K577" s="33"/>
      <c r="L577" s="128">
        <v>4.2</v>
      </c>
      <c r="M577" s="54">
        <f t="shared" si="238"/>
        <v>0</v>
      </c>
      <c r="N577" s="54"/>
      <c r="O577" s="54"/>
      <c r="P577" s="54"/>
      <c r="Q577" s="68">
        <f t="shared" si="239"/>
        <v>0</v>
      </c>
      <c r="R577" s="68"/>
      <c r="S577" s="68"/>
      <c r="T577" s="68"/>
      <c r="U577" s="129"/>
      <c r="V577" s="70">
        <f t="shared" si="240"/>
        <v>4.2</v>
      </c>
      <c r="W577" s="130" t="s">
        <v>2283</v>
      </c>
    </row>
    <row r="578" s="4" customFormat="1" ht="26.25" customHeight="1" spans="1:23">
      <c r="A578" s="117">
        <v>405001</v>
      </c>
      <c r="B578" s="29" t="s">
        <v>3259</v>
      </c>
      <c r="C578" s="35" t="s">
        <v>3208</v>
      </c>
      <c r="D578" s="40" t="s">
        <v>2083</v>
      </c>
      <c r="E578" s="121" t="s">
        <v>3262</v>
      </c>
      <c r="F578" s="35" t="s">
        <v>3263</v>
      </c>
      <c r="G578" s="33">
        <f t="shared" si="237"/>
        <v>0</v>
      </c>
      <c r="H578" s="33"/>
      <c r="I578" s="33"/>
      <c r="J578" s="33"/>
      <c r="K578" s="55">
        <v>10</v>
      </c>
      <c r="L578" s="33"/>
      <c r="M578" s="54">
        <f t="shared" si="238"/>
        <v>0</v>
      </c>
      <c r="N578" s="54"/>
      <c r="O578" s="54"/>
      <c r="P578" s="54"/>
      <c r="Q578" s="68">
        <f t="shared" si="239"/>
        <v>0</v>
      </c>
      <c r="R578" s="68"/>
      <c r="S578" s="68"/>
      <c r="T578" s="68"/>
      <c r="U578" s="129"/>
      <c r="V578" s="33">
        <f t="shared" si="240"/>
        <v>10</v>
      </c>
      <c r="W578" s="130" t="s">
        <v>2283</v>
      </c>
    </row>
    <row r="579" s="4" customFormat="1" ht="26.25" customHeight="1" spans="1:23">
      <c r="A579" s="117">
        <v>405001</v>
      </c>
      <c r="B579" s="29" t="s">
        <v>3259</v>
      </c>
      <c r="C579" s="35" t="s">
        <v>3264</v>
      </c>
      <c r="D579" s="76" t="s">
        <v>3265</v>
      </c>
      <c r="E579" s="121" t="s">
        <v>3266</v>
      </c>
      <c r="F579" s="35" t="s">
        <v>3265</v>
      </c>
      <c r="G579" s="33">
        <f t="shared" si="237"/>
        <v>0</v>
      </c>
      <c r="H579" s="33"/>
      <c r="I579" s="33"/>
      <c r="J579" s="33"/>
      <c r="K579" s="33"/>
      <c r="L579" s="33"/>
      <c r="M579" s="54">
        <f t="shared" si="238"/>
        <v>1</v>
      </c>
      <c r="N579" s="54"/>
      <c r="O579" s="54">
        <v>1</v>
      </c>
      <c r="P579" s="54"/>
      <c r="Q579" s="68">
        <f t="shared" si="239"/>
        <v>0</v>
      </c>
      <c r="R579" s="68"/>
      <c r="S579" s="68"/>
      <c r="T579" s="68"/>
      <c r="U579" s="129"/>
      <c r="V579" s="54">
        <f t="shared" si="240"/>
        <v>1</v>
      </c>
      <c r="W579" s="74" t="s">
        <v>503</v>
      </c>
    </row>
    <row r="580" s="4" customFormat="1" ht="26.25" customHeight="1" spans="1:23">
      <c r="A580" s="117">
        <v>405001</v>
      </c>
      <c r="B580" s="29" t="s">
        <v>3259</v>
      </c>
      <c r="C580" s="35" t="s">
        <v>3264</v>
      </c>
      <c r="D580" s="76" t="s">
        <v>3265</v>
      </c>
      <c r="E580" s="121" t="s">
        <v>3266</v>
      </c>
      <c r="F580" s="35" t="s">
        <v>3265</v>
      </c>
      <c r="G580" s="33">
        <f t="shared" si="237"/>
        <v>0</v>
      </c>
      <c r="H580" s="33"/>
      <c r="I580" s="33"/>
      <c r="J580" s="33"/>
      <c r="K580" s="33"/>
      <c r="L580" s="33"/>
      <c r="M580" s="54">
        <f t="shared" si="238"/>
        <v>10</v>
      </c>
      <c r="N580" s="54"/>
      <c r="O580" s="54">
        <v>10</v>
      </c>
      <c r="P580" s="54"/>
      <c r="Q580" s="68">
        <f t="shared" si="239"/>
        <v>0</v>
      </c>
      <c r="R580" s="68"/>
      <c r="S580" s="68"/>
      <c r="T580" s="68"/>
      <c r="U580" s="129"/>
      <c r="V580" s="54">
        <f t="shared" si="240"/>
        <v>10</v>
      </c>
      <c r="W580" s="74" t="s">
        <v>690</v>
      </c>
    </row>
    <row r="581" s="4" customFormat="1" ht="26.25" customHeight="1" spans="1:23">
      <c r="A581" s="117">
        <v>405001</v>
      </c>
      <c r="B581" s="29" t="s">
        <v>3259</v>
      </c>
      <c r="C581" s="35" t="s">
        <v>3267</v>
      </c>
      <c r="D581" s="40" t="s">
        <v>3268</v>
      </c>
      <c r="E581" s="121" t="s">
        <v>3269</v>
      </c>
      <c r="F581" s="35" t="s">
        <v>1056</v>
      </c>
      <c r="G581" s="33">
        <f t="shared" si="237"/>
        <v>0</v>
      </c>
      <c r="H581" s="33"/>
      <c r="I581" s="33"/>
      <c r="J581" s="33"/>
      <c r="K581" s="33"/>
      <c r="L581" s="128">
        <v>7080</v>
      </c>
      <c r="M581" s="54">
        <f t="shared" si="238"/>
        <v>0</v>
      </c>
      <c r="N581" s="54"/>
      <c r="O581" s="54"/>
      <c r="P581" s="54"/>
      <c r="Q581" s="68">
        <f t="shared" si="239"/>
        <v>0</v>
      </c>
      <c r="R581" s="68"/>
      <c r="S581" s="68"/>
      <c r="T581" s="68"/>
      <c r="U581" s="129"/>
      <c r="V581" s="33">
        <f t="shared" si="240"/>
        <v>7080</v>
      </c>
      <c r="W581" s="130" t="s">
        <v>2283</v>
      </c>
    </row>
    <row r="582" s="4" customFormat="1" ht="26.25" customHeight="1" spans="1:23">
      <c r="A582" s="117">
        <v>405001</v>
      </c>
      <c r="B582" s="29" t="s">
        <v>3259</v>
      </c>
      <c r="C582" s="35" t="s">
        <v>3267</v>
      </c>
      <c r="D582" s="40" t="s">
        <v>3268</v>
      </c>
      <c r="E582" s="121"/>
      <c r="F582" s="35" t="s">
        <v>1262</v>
      </c>
      <c r="G582" s="33">
        <f t="shared" si="237"/>
        <v>0</v>
      </c>
      <c r="H582" s="33"/>
      <c r="I582" s="33"/>
      <c r="J582" s="33"/>
      <c r="K582" s="33"/>
      <c r="L582" s="33"/>
      <c r="M582" s="54">
        <f t="shared" si="238"/>
        <v>70000</v>
      </c>
      <c r="N582" s="54"/>
      <c r="O582" s="54">
        <v>70000</v>
      </c>
      <c r="P582" s="54"/>
      <c r="Q582" s="68">
        <f t="shared" si="239"/>
        <v>0</v>
      </c>
      <c r="R582" s="68"/>
      <c r="S582" s="68"/>
      <c r="T582" s="68"/>
      <c r="U582" s="129"/>
      <c r="V582" s="33">
        <f t="shared" si="240"/>
        <v>70000</v>
      </c>
      <c r="W582" s="130" t="s">
        <v>2283</v>
      </c>
    </row>
    <row r="583" s="4" customFormat="1" ht="26.25" customHeight="1" spans="1:23">
      <c r="A583" s="117">
        <v>405001</v>
      </c>
      <c r="B583" s="29" t="s">
        <v>3259</v>
      </c>
      <c r="C583" s="35" t="s">
        <v>3270</v>
      </c>
      <c r="D583" s="40" t="s">
        <v>3271</v>
      </c>
      <c r="E583" s="121" t="s">
        <v>3272</v>
      </c>
      <c r="F583" s="35" t="s">
        <v>3273</v>
      </c>
      <c r="G583" s="33">
        <f t="shared" si="237"/>
        <v>0</v>
      </c>
      <c r="H583" s="33"/>
      <c r="I583" s="33"/>
      <c r="J583" s="33"/>
      <c r="K583" s="55">
        <f>385.052141+594.947859</f>
        <v>980</v>
      </c>
      <c r="L583" s="33"/>
      <c r="M583" s="54">
        <f t="shared" si="238"/>
        <v>0</v>
      </c>
      <c r="N583" s="54"/>
      <c r="O583" s="54"/>
      <c r="P583" s="54"/>
      <c r="Q583" s="68">
        <f t="shared" si="239"/>
        <v>0</v>
      </c>
      <c r="R583" s="68"/>
      <c r="S583" s="68"/>
      <c r="T583" s="68"/>
      <c r="U583" s="129"/>
      <c r="V583" s="33">
        <f t="shared" si="240"/>
        <v>980</v>
      </c>
      <c r="W583" s="130" t="s">
        <v>2283</v>
      </c>
    </row>
    <row r="584" s="4" customFormat="1" ht="26.25" customHeight="1" spans="1:23">
      <c r="A584" s="115">
        <v>406001</v>
      </c>
      <c r="B584" s="23" t="s">
        <v>3274</v>
      </c>
      <c r="C584" s="116"/>
      <c r="D584" s="116"/>
      <c r="E584" s="84"/>
      <c r="F584" s="26"/>
      <c r="G584" s="27">
        <f t="shared" ref="G584:V584" si="241">SUM(G585:G596)</f>
        <v>4853.25</v>
      </c>
      <c r="H584" s="27">
        <f t="shared" si="241"/>
        <v>4593.25</v>
      </c>
      <c r="I584" s="27">
        <f t="shared" si="241"/>
        <v>260</v>
      </c>
      <c r="J584" s="27">
        <f t="shared" si="241"/>
        <v>0</v>
      </c>
      <c r="K584" s="27">
        <f t="shared" si="241"/>
        <v>35.15</v>
      </c>
      <c r="L584" s="27">
        <f t="shared" si="241"/>
        <v>175</v>
      </c>
      <c r="M584" s="27">
        <f t="shared" si="241"/>
        <v>0</v>
      </c>
      <c r="N584" s="27">
        <f t="shared" si="241"/>
        <v>0</v>
      </c>
      <c r="O584" s="27">
        <f t="shared" si="241"/>
        <v>0</v>
      </c>
      <c r="P584" s="27">
        <f t="shared" si="241"/>
        <v>0</v>
      </c>
      <c r="Q584" s="27">
        <f t="shared" si="241"/>
        <v>1800</v>
      </c>
      <c r="R584" s="27">
        <f t="shared" si="241"/>
        <v>0</v>
      </c>
      <c r="S584" s="27">
        <f t="shared" si="241"/>
        <v>1800</v>
      </c>
      <c r="T584" s="27">
        <f t="shared" si="241"/>
        <v>0</v>
      </c>
      <c r="U584" s="27">
        <f t="shared" si="241"/>
        <v>130</v>
      </c>
      <c r="V584" s="27">
        <f t="shared" si="241"/>
        <v>6733.4</v>
      </c>
      <c r="W584" s="67"/>
    </row>
    <row r="585" s="4" customFormat="1" ht="26.25" customHeight="1" spans="1:23">
      <c r="A585" s="117">
        <v>406001</v>
      </c>
      <c r="B585" s="29" t="s">
        <v>3275</v>
      </c>
      <c r="C585" s="35" t="s">
        <v>3276</v>
      </c>
      <c r="D585" s="38" t="s">
        <v>3277</v>
      </c>
      <c r="E585" s="121" t="s">
        <v>3278</v>
      </c>
      <c r="F585" s="38" t="s">
        <v>3279</v>
      </c>
      <c r="G585" s="33">
        <f t="shared" ref="G585:G596" si="242">SUM(H585:J585)</f>
        <v>0</v>
      </c>
      <c r="H585" s="33"/>
      <c r="I585" s="33"/>
      <c r="J585" s="33"/>
      <c r="K585" s="33"/>
      <c r="L585" s="33"/>
      <c r="M585" s="54">
        <f t="shared" ref="M585:M596" si="243">N585+O585-P585</f>
        <v>0</v>
      </c>
      <c r="N585" s="54"/>
      <c r="O585" s="54"/>
      <c r="P585" s="54"/>
      <c r="Q585" s="68">
        <f t="shared" ref="Q585:Q596" si="244">R585+S585-T585</f>
        <v>1600.5</v>
      </c>
      <c r="R585" s="68"/>
      <c r="S585" s="68">
        <f>1800-199.5</f>
        <v>1600.5</v>
      </c>
      <c r="T585" s="68"/>
      <c r="U585" s="129"/>
      <c r="V585" s="68">
        <f t="shared" ref="V585:V596" si="245">G585+K585+L585+M585+Q585-U585</f>
        <v>1600.5</v>
      </c>
      <c r="W585" s="91" t="s">
        <v>3280</v>
      </c>
    </row>
    <row r="586" s="4" customFormat="1" ht="26.25" customHeight="1" spans="1:23">
      <c r="A586" s="117">
        <v>406001</v>
      </c>
      <c r="B586" s="29" t="s">
        <v>3275</v>
      </c>
      <c r="C586" s="35" t="s">
        <v>3276</v>
      </c>
      <c r="D586" s="38" t="s">
        <v>3277</v>
      </c>
      <c r="E586" s="35" t="s">
        <v>3281</v>
      </c>
      <c r="F586" s="38" t="s">
        <v>3282</v>
      </c>
      <c r="G586" s="33">
        <f t="shared" si="242"/>
        <v>0</v>
      </c>
      <c r="H586" s="33"/>
      <c r="I586" s="33"/>
      <c r="J586" s="33"/>
      <c r="K586" s="33"/>
      <c r="L586" s="33"/>
      <c r="M586" s="54">
        <f t="shared" si="243"/>
        <v>0</v>
      </c>
      <c r="N586" s="54"/>
      <c r="O586" s="54"/>
      <c r="P586" s="54"/>
      <c r="Q586" s="68">
        <f t="shared" si="244"/>
        <v>199.5</v>
      </c>
      <c r="R586" s="68"/>
      <c r="S586" s="68">
        <v>199.5</v>
      </c>
      <c r="T586" s="68"/>
      <c r="U586" s="129"/>
      <c r="V586" s="68">
        <f t="shared" si="245"/>
        <v>199.5</v>
      </c>
      <c r="W586" s="91" t="s">
        <v>3280</v>
      </c>
    </row>
    <row r="587" s="4" customFormat="1" ht="26.25" customHeight="1" spans="1:23">
      <c r="A587" s="117">
        <v>406001</v>
      </c>
      <c r="B587" s="29" t="s">
        <v>3275</v>
      </c>
      <c r="C587" s="35" t="s">
        <v>3208</v>
      </c>
      <c r="D587" s="47" t="s">
        <v>2083</v>
      </c>
      <c r="E587" s="121" t="s">
        <v>3283</v>
      </c>
      <c r="F587" s="35" t="s">
        <v>2317</v>
      </c>
      <c r="G587" s="33">
        <f t="shared" si="242"/>
        <v>0</v>
      </c>
      <c r="H587" s="33"/>
      <c r="I587" s="33"/>
      <c r="J587" s="33"/>
      <c r="K587" s="55">
        <v>1.4</v>
      </c>
      <c r="L587" s="33"/>
      <c r="M587" s="54">
        <f t="shared" si="243"/>
        <v>0</v>
      </c>
      <c r="N587" s="54"/>
      <c r="O587" s="54"/>
      <c r="P587" s="54"/>
      <c r="Q587" s="68">
        <f t="shared" si="244"/>
        <v>0</v>
      </c>
      <c r="R587" s="68"/>
      <c r="S587" s="68"/>
      <c r="T587" s="68"/>
      <c r="U587" s="129"/>
      <c r="V587" s="33">
        <f t="shared" si="245"/>
        <v>1.4</v>
      </c>
      <c r="W587" s="130" t="s">
        <v>2283</v>
      </c>
    </row>
    <row r="588" s="4" customFormat="1" ht="26.25" customHeight="1" spans="1:23">
      <c r="A588" s="117">
        <v>406001</v>
      </c>
      <c r="B588" s="29" t="s">
        <v>3275</v>
      </c>
      <c r="C588" s="118" t="s">
        <v>3284</v>
      </c>
      <c r="D588" s="120" t="s">
        <v>3285</v>
      </c>
      <c r="E588" s="37" t="s">
        <v>3286</v>
      </c>
      <c r="F588" s="32" t="s">
        <v>1058</v>
      </c>
      <c r="G588" s="33">
        <f t="shared" si="242"/>
        <v>183</v>
      </c>
      <c r="H588" s="33">
        <v>183</v>
      </c>
      <c r="I588" s="33"/>
      <c r="J588" s="33"/>
      <c r="K588" s="33">
        <v>33.75</v>
      </c>
      <c r="L588" s="33">
        <v>15</v>
      </c>
      <c r="M588" s="54">
        <f t="shared" si="243"/>
        <v>0</v>
      </c>
      <c r="N588" s="54"/>
      <c r="O588" s="54"/>
      <c r="P588" s="54"/>
      <c r="Q588" s="68">
        <f t="shared" si="244"/>
        <v>0</v>
      </c>
      <c r="R588" s="68"/>
      <c r="S588" s="68"/>
      <c r="T588" s="68"/>
      <c r="U588" s="129"/>
      <c r="V588" s="70">
        <f t="shared" si="245"/>
        <v>231.75</v>
      </c>
      <c r="W588" s="130" t="s">
        <v>2283</v>
      </c>
    </row>
    <row r="589" s="4" customFormat="1" ht="26.25" customHeight="1" spans="1:23">
      <c r="A589" s="117">
        <v>406001</v>
      </c>
      <c r="B589" s="29" t="s">
        <v>3275</v>
      </c>
      <c r="C589" s="118" t="s">
        <v>3284</v>
      </c>
      <c r="D589" s="119" t="s">
        <v>3285</v>
      </c>
      <c r="E589" s="30" t="s">
        <v>3287</v>
      </c>
      <c r="F589" s="32" t="s">
        <v>3288</v>
      </c>
      <c r="G589" s="33">
        <f t="shared" si="242"/>
        <v>16.7</v>
      </c>
      <c r="H589" s="33">
        <v>16.7</v>
      </c>
      <c r="I589" s="33"/>
      <c r="J589" s="33"/>
      <c r="K589" s="33"/>
      <c r="L589" s="33"/>
      <c r="M589" s="54">
        <f t="shared" si="243"/>
        <v>0</v>
      </c>
      <c r="N589" s="54"/>
      <c r="O589" s="54"/>
      <c r="P589" s="54"/>
      <c r="Q589" s="68">
        <f t="shared" si="244"/>
        <v>0</v>
      </c>
      <c r="R589" s="68"/>
      <c r="S589" s="68"/>
      <c r="T589" s="68"/>
      <c r="U589" s="129"/>
      <c r="V589" s="33">
        <f t="shared" si="245"/>
        <v>16.7</v>
      </c>
      <c r="W589" s="130" t="s">
        <v>2283</v>
      </c>
    </row>
    <row r="590" s="4" customFormat="1" ht="26.25" customHeight="1" spans="1:23">
      <c r="A590" s="117">
        <v>406001</v>
      </c>
      <c r="B590" s="29" t="s">
        <v>3275</v>
      </c>
      <c r="C590" s="118" t="s">
        <v>3284</v>
      </c>
      <c r="D590" s="29" t="s">
        <v>3285</v>
      </c>
      <c r="E590" s="30" t="s">
        <v>3289</v>
      </c>
      <c r="F590" s="32" t="s">
        <v>1064</v>
      </c>
      <c r="G590" s="33">
        <f t="shared" si="242"/>
        <v>360</v>
      </c>
      <c r="H590" s="33">
        <v>100</v>
      </c>
      <c r="I590" s="33">
        <v>260</v>
      </c>
      <c r="J590" s="33"/>
      <c r="K590" s="33"/>
      <c r="L590" s="33"/>
      <c r="M590" s="54">
        <f t="shared" si="243"/>
        <v>0</v>
      </c>
      <c r="N590" s="54"/>
      <c r="O590" s="54"/>
      <c r="P590" s="54"/>
      <c r="Q590" s="68">
        <f t="shared" si="244"/>
        <v>0</v>
      </c>
      <c r="R590" s="68"/>
      <c r="S590" s="68"/>
      <c r="T590" s="68"/>
      <c r="U590" s="129">
        <f>30+100</f>
        <v>130</v>
      </c>
      <c r="V590" s="33">
        <f t="shared" si="245"/>
        <v>230</v>
      </c>
      <c r="W590" s="130" t="s">
        <v>2283</v>
      </c>
    </row>
    <row r="591" s="4" customFormat="1" ht="26.25" customHeight="1" spans="1:23">
      <c r="A591" s="117">
        <v>406001</v>
      </c>
      <c r="B591" s="29" t="s">
        <v>3275</v>
      </c>
      <c r="C591" s="118" t="s">
        <v>3284</v>
      </c>
      <c r="D591" s="29" t="s">
        <v>3285</v>
      </c>
      <c r="E591" s="121" t="s">
        <v>3290</v>
      </c>
      <c r="F591" s="35" t="s">
        <v>1060</v>
      </c>
      <c r="G591" s="33">
        <f t="shared" si="242"/>
        <v>0</v>
      </c>
      <c r="H591" s="33"/>
      <c r="I591" s="33"/>
      <c r="J591" s="33"/>
      <c r="K591" s="33"/>
      <c r="L591" s="128">
        <v>30</v>
      </c>
      <c r="M591" s="54">
        <f t="shared" si="243"/>
        <v>0</v>
      </c>
      <c r="N591" s="54"/>
      <c r="O591" s="54"/>
      <c r="P591" s="54"/>
      <c r="Q591" s="68">
        <f t="shared" si="244"/>
        <v>0</v>
      </c>
      <c r="R591" s="68"/>
      <c r="S591" s="68"/>
      <c r="T591" s="68"/>
      <c r="U591" s="129"/>
      <c r="V591" s="33">
        <f t="shared" si="245"/>
        <v>30</v>
      </c>
      <c r="W591" s="130" t="s">
        <v>2283</v>
      </c>
    </row>
    <row r="592" s="4" customFormat="1" ht="26.25" customHeight="1" spans="1:23">
      <c r="A592" s="117">
        <v>406001</v>
      </c>
      <c r="B592" s="29" t="s">
        <v>3275</v>
      </c>
      <c r="C592" s="118" t="s">
        <v>3225</v>
      </c>
      <c r="D592" s="119" t="s">
        <v>3224</v>
      </c>
      <c r="E592" s="30" t="s">
        <v>3291</v>
      </c>
      <c r="F592" s="32" t="s">
        <v>1062</v>
      </c>
      <c r="G592" s="33">
        <f t="shared" si="242"/>
        <v>330</v>
      </c>
      <c r="H592" s="33">
        <v>330</v>
      </c>
      <c r="I592" s="33"/>
      <c r="J592" s="33"/>
      <c r="K592" s="33"/>
      <c r="L592" s="33">
        <v>70</v>
      </c>
      <c r="M592" s="54">
        <f t="shared" si="243"/>
        <v>0</v>
      </c>
      <c r="N592" s="54"/>
      <c r="O592" s="54"/>
      <c r="P592" s="54"/>
      <c r="Q592" s="68">
        <f t="shared" si="244"/>
        <v>0</v>
      </c>
      <c r="R592" s="68"/>
      <c r="S592" s="68"/>
      <c r="T592" s="68"/>
      <c r="U592" s="129"/>
      <c r="V592" s="33">
        <f t="shared" si="245"/>
        <v>400</v>
      </c>
      <c r="W592" s="130" t="s">
        <v>2283</v>
      </c>
    </row>
    <row r="593" s="4" customFormat="1" ht="26.25" customHeight="1" spans="1:23">
      <c r="A593" s="117">
        <v>406001</v>
      </c>
      <c r="B593" s="29" t="s">
        <v>3275</v>
      </c>
      <c r="C593" s="118" t="s">
        <v>3225</v>
      </c>
      <c r="D593" s="119" t="s">
        <v>3224</v>
      </c>
      <c r="E593" s="30" t="s">
        <v>3292</v>
      </c>
      <c r="F593" s="118" t="s">
        <v>3293</v>
      </c>
      <c r="G593" s="33">
        <f t="shared" si="242"/>
        <v>9.55</v>
      </c>
      <c r="H593" s="33">
        <v>9.55</v>
      </c>
      <c r="I593" s="33"/>
      <c r="J593" s="33"/>
      <c r="K593" s="33"/>
      <c r="L593" s="33"/>
      <c r="M593" s="54">
        <f t="shared" si="243"/>
        <v>0</v>
      </c>
      <c r="N593" s="54"/>
      <c r="O593" s="54"/>
      <c r="P593" s="54"/>
      <c r="Q593" s="68">
        <f t="shared" si="244"/>
        <v>0</v>
      </c>
      <c r="R593" s="68"/>
      <c r="S593" s="68"/>
      <c r="T593" s="68"/>
      <c r="U593" s="129"/>
      <c r="V593" s="33">
        <f t="shared" si="245"/>
        <v>9.55</v>
      </c>
      <c r="W593" s="130" t="s">
        <v>2283</v>
      </c>
    </row>
    <row r="594" s="4" customFormat="1" ht="26.25" customHeight="1" spans="1:23">
      <c r="A594" s="117">
        <v>406001</v>
      </c>
      <c r="B594" s="29" t="s">
        <v>3275</v>
      </c>
      <c r="C594" s="133">
        <v>2130599</v>
      </c>
      <c r="D594" s="119" t="s">
        <v>3294</v>
      </c>
      <c r="E594" s="37" t="s">
        <v>3295</v>
      </c>
      <c r="F594" s="32" t="s">
        <v>3294</v>
      </c>
      <c r="G594" s="33">
        <f t="shared" si="242"/>
        <v>360</v>
      </c>
      <c r="H594" s="33">
        <v>360</v>
      </c>
      <c r="I594" s="33"/>
      <c r="J594" s="33"/>
      <c r="K594" s="33"/>
      <c r="L594" s="33"/>
      <c r="M594" s="54">
        <f t="shared" si="243"/>
        <v>0</v>
      </c>
      <c r="N594" s="54"/>
      <c r="O594" s="54"/>
      <c r="P594" s="54"/>
      <c r="Q594" s="68">
        <f t="shared" si="244"/>
        <v>0</v>
      </c>
      <c r="R594" s="68"/>
      <c r="S594" s="68"/>
      <c r="T594" s="68"/>
      <c r="U594" s="129"/>
      <c r="V594" s="70">
        <f t="shared" si="245"/>
        <v>360</v>
      </c>
      <c r="W594" s="130" t="s">
        <v>2283</v>
      </c>
    </row>
    <row r="595" s="4" customFormat="1" ht="26.25" customHeight="1" spans="1:23">
      <c r="A595" s="117">
        <v>406001</v>
      </c>
      <c r="B595" s="29" t="s">
        <v>3275</v>
      </c>
      <c r="C595" s="118" t="s">
        <v>3296</v>
      </c>
      <c r="D595" s="119" t="s">
        <v>3294</v>
      </c>
      <c r="E595" s="37" t="s">
        <v>3297</v>
      </c>
      <c r="F595" s="32" t="s">
        <v>3298</v>
      </c>
      <c r="G595" s="33">
        <f t="shared" si="242"/>
        <v>3594</v>
      </c>
      <c r="H595" s="33">
        <v>3594</v>
      </c>
      <c r="I595" s="33"/>
      <c r="J595" s="33"/>
      <c r="K595" s="33"/>
      <c r="L595" s="33"/>
      <c r="M595" s="54">
        <f t="shared" si="243"/>
        <v>0</v>
      </c>
      <c r="N595" s="54"/>
      <c r="O595" s="54"/>
      <c r="P595" s="54"/>
      <c r="Q595" s="68">
        <f t="shared" si="244"/>
        <v>0</v>
      </c>
      <c r="R595" s="68"/>
      <c r="S595" s="68"/>
      <c r="T595" s="68"/>
      <c r="U595" s="129"/>
      <c r="V595" s="33">
        <f t="shared" si="245"/>
        <v>3594</v>
      </c>
      <c r="W595" s="130" t="s">
        <v>2283</v>
      </c>
    </row>
    <row r="596" s="4" customFormat="1" ht="26.25" customHeight="1" spans="1:23">
      <c r="A596" s="117">
        <v>406001</v>
      </c>
      <c r="B596" s="29" t="s">
        <v>3275</v>
      </c>
      <c r="C596" s="118" t="s">
        <v>3296</v>
      </c>
      <c r="D596" s="29" t="s">
        <v>3294</v>
      </c>
      <c r="E596" s="121" t="s">
        <v>3299</v>
      </c>
      <c r="F596" s="35" t="s">
        <v>1063</v>
      </c>
      <c r="G596" s="33">
        <f t="shared" si="242"/>
        <v>0</v>
      </c>
      <c r="H596" s="33"/>
      <c r="I596" s="33"/>
      <c r="J596" s="33"/>
      <c r="K596" s="33"/>
      <c r="L596" s="128">
        <v>60</v>
      </c>
      <c r="M596" s="54">
        <f t="shared" si="243"/>
        <v>0</v>
      </c>
      <c r="N596" s="54"/>
      <c r="O596" s="54"/>
      <c r="P596" s="54"/>
      <c r="Q596" s="68">
        <f t="shared" si="244"/>
        <v>0</v>
      </c>
      <c r="R596" s="68"/>
      <c r="S596" s="68"/>
      <c r="T596" s="68"/>
      <c r="U596" s="129"/>
      <c r="V596" s="33">
        <f t="shared" si="245"/>
        <v>60</v>
      </c>
      <c r="W596" s="130" t="s">
        <v>2283</v>
      </c>
    </row>
    <row r="597" s="4" customFormat="1" ht="26.25" customHeight="1" spans="1:23">
      <c r="A597" s="115">
        <v>407001</v>
      </c>
      <c r="B597" s="23" t="s">
        <v>3300</v>
      </c>
      <c r="C597" s="116"/>
      <c r="D597" s="116"/>
      <c r="E597" s="84"/>
      <c r="F597" s="26"/>
      <c r="G597" s="27">
        <f t="shared" ref="G597:V597" si="246">SUM(G598:G608)</f>
        <v>361.6</v>
      </c>
      <c r="H597" s="27">
        <f t="shared" si="246"/>
        <v>233.6</v>
      </c>
      <c r="I597" s="27">
        <f t="shared" si="246"/>
        <v>128</v>
      </c>
      <c r="J597" s="27">
        <f t="shared" si="246"/>
        <v>0</v>
      </c>
      <c r="K597" s="27">
        <f t="shared" si="246"/>
        <v>1.4</v>
      </c>
      <c r="L597" s="27">
        <f t="shared" si="246"/>
        <v>0</v>
      </c>
      <c r="M597" s="27">
        <f t="shared" si="246"/>
        <v>153.368</v>
      </c>
      <c r="N597" s="27">
        <f t="shared" si="246"/>
        <v>0</v>
      </c>
      <c r="O597" s="27">
        <f t="shared" si="246"/>
        <v>153.368</v>
      </c>
      <c r="P597" s="27">
        <f t="shared" si="246"/>
        <v>0</v>
      </c>
      <c r="Q597" s="27">
        <f t="shared" si="246"/>
        <v>0</v>
      </c>
      <c r="R597" s="27">
        <f t="shared" si="246"/>
        <v>0</v>
      </c>
      <c r="S597" s="27">
        <f t="shared" si="246"/>
        <v>0</v>
      </c>
      <c r="T597" s="27">
        <f t="shared" si="246"/>
        <v>0</v>
      </c>
      <c r="U597" s="27">
        <f t="shared" si="246"/>
        <v>5.318</v>
      </c>
      <c r="V597" s="27">
        <f t="shared" si="246"/>
        <v>511.05</v>
      </c>
      <c r="W597" s="67"/>
    </row>
    <row r="598" s="4" customFormat="1" ht="26.25" customHeight="1" spans="1:23">
      <c r="A598" s="117">
        <v>407001</v>
      </c>
      <c r="B598" s="29" t="s">
        <v>3301</v>
      </c>
      <c r="C598" s="118" t="s">
        <v>3302</v>
      </c>
      <c r="D598" s="119" t="s">
        <v>2083</v>
      </c>
      <c r="E598" s="30" t="s">
        <v>3303</v>
      </c>
      <c r="F598" s="32" t="s">
        <v>933</v>
      </c>
      <c r="G598" s="33">
        <f t="shared" ref="G598:G608" si="247">SUM(H598:J598)</f>
        <v>2</v>
      </c>
      <c r="H598" s="33">
        <v>2</v>
      </c>
      <c r="I598" s="33"/>
      <c r="J598" s="33"/>
      <c r="K598" s="33"/>
      <c r="L598" s="33"/>
      <c r="M598" s="54">
        <f t="shared" ref="M598:M608" si="248">N598+O598-P598</f>
        <v>0</v>
      </c>
      <c r="N598" s="54"/>
      <c r="O598" s="54"/>
      <c r="P598" s="54"/>
      <c r="Q598" s="68">
        <f t="shared" ref="Q598:Q608" si="249">R598+S598-T598</f>
        <v>0</v>
      </c>
      <c r="R598" s="68"/>
      <c r="S598" s="68"/>
      <c r="T598" s="68"/>
      <c r="U598" s="143">
        <v>0.318</v>
      </c>
      <c r="V598" s="33">
        <f t="shared" ref="V598:V608" si="250">G598+K598+L598+M598+Q598-U598</f>
        <v>1.682</v>
      </c>
      <c r="W598" s="130" t="s">
        <v>2283</v>
      </c>
    </row>
    <row r="599" s="4" customFormat="1" ht="26.25" customHeight="1" spans="1:23">
      <c r="A599" s="117">
        <v>407001</v>
      </c>
      <c r="B599" s="29" t="s">
        <v>3301</v>
      </c>
      <c r="C599" s="118" t="s">
        <v>3302</v>
      </c>
      <c r="D599" s="119" t="s">
        <v>2083</v>
      </c>
      <c r="E599" s="121" t="s">
        <v>3304</v>
      </c>
      <c r="F599" s="35" t="s">
        <v>2317</v>
      </c>
      <c r="G599" s="33">
        <f t="shared" si="247"/>
        <v>0</v>
      </c>
      <c r="H599" s="33"/>
      <c r="I599" s="33"/>
      <c r="J599" s="33"/>
      <c r="K599" s="55">
        <v>1.4</v>
      </c>
      <c r="L599" s="33"/>
      <c r="M599" s="54">
        <f t="shared" si="248"/>
        <v>0</v>
      </c>
      <c r="N599" s="54"/>
      <c r="O599" s="54"/>
      <c r="P599" s="54"/>
      <c r="Q599" s="68">
        <f t="shared" si="249"/>
        <v>0</v>
      </c>
      <c r="R599" s="68"/>
      <c r="S599" s="68"/>
      <c r="T599" s="68"/>
      <c r="U599" s="129"/>
      <c r="V599" s="33">
        <f t="shared" si="250"/>
        <v>1.4</v>
      </c>
      <c r="W599" s="130" t="s">
        <v>2283</v>
      </c>
    </row>
    <row r="600" s="4" customFormat="1" ht="26.25" customHeight="1" spans="1:23">
      <c r="A600" s="117">
        <v>407001</v>
      </c>
      <c r="B600" s="29" t="s">
        <v>3301</v>
      </c>
      <c r="C600" s="118" t="s">
        <v>2680</v>
      </c>
      <c r="D600" s="29" t="s">
        <v>2681</v>
      </c>
      <c r="E600" s="30" t="s">
        <v>3305</v>
      </c>
      <c r="F600" s="32" t="s">
        <v>3306</v>
      </c>
      <c r="G600" s="33">
        <f t="shared" si="247"/>
        <v>30</v>
      </c>
      <c r="H600" s="33"/>
      <c r="I600" s="33">
        <v>30</v>
      </c>
      <c r="J600" s="33"/>
      <c r="K600" s="33"/>
      <c r="L600" s="33"/>
      <c r="M600" s="54">
        <f t="shared" si="248"/>
        <v>0</v>
      </c>
      <c r="N600" s="54"/>
      <c r="O600" s="54"/>
      <c r="P600" s="54"/>
      <c r="Q600" s="68">
        <f t="shared" si="249"/>
        <v>0</v>
      </c>
      <c r="R600" s="68"/>
      <c r="S600" s="68"/>
      <c r="T600" s="68"/>
      <c r="U600" s="129"/>
      <c r="V600" s="33">
        <f t="shared" si="250"/>
        <v>30</v>
      </c>
      <c r="W600" s="130" t="s">
        <v>2283</v>
      </c>
    </row>
    <row r="601" s="4" customFormat="1" ht="26.25" customHeight="1" spans="1:24">
      <c r="A601" s="117">
        <v>407001</v>
      </c>
      <c r="B601" s="29" t="s">
        <v>3301</v>
      </c>
      <c r="C601" s="118" t="s">
        <v>3307</v>
      </c>
      <c r="D601" s="119" t="s">
        <v>3308</v>
      </c>
      <c r="E601" s="30" t="s">
        <v>3309</v>
      </c>
      <c r="F601" s="32" t="s">
        <v>3310</v>
      </c>
      <c r="G601" s="33">
        <f t="shared" si="247"/>
        <v>133</v>
      </c>
      <c r="H601" s="33">
        <v>133</v>
      </c>
      <c r="I601" s="33"/>
      <c r="J601" s="33"/>
      <c r="K601" s="33"/>
      <c r="L601" s="33"/>
      <c r="M601" s="54">
        <f t="shared" si="248"/>
        <v>0</v>
      </c>
      <c r="N601" s="54"/>
      <c r="O601" s="54"/>
      <c r="P601" s="54"/>
      <c r="Q601" s="68">
        <f t="shared" si="249"/>
        <v>0</v>
      </c>
      <c r="R601" s="68"/>
      <c r="S601" s="68"/>
      <c r="T601" s="68"/>
      <c r="U601" s="129"/>
      <c r="V601" s="33">
        <f t="shared" si="250"/>
        <v>133</v>
      </c>
      <c r="W601" s="130" t="s">
        <v>2283</v>
      </c>
      <c r="X601" s="140"/>
    </row>
    <row r="602" s="4" customFormat="1" ht="26.25" customHeight="1" spans="1:23">
      <c r="A602" s="117">
        <v>407001</v>
      </c>
      <c r="B602" s="29" t="s">
        <v>3301</v>
      </c>
      <c r="C602" s="118" t="s">
        <v>3307</v>
      </c>
      <c r="D602" s="119" t="s">
        <v>3308</v>
      </c>
      <c r="E602" s="30" t="s">
        <v>3311</v>
      </c>
      <c r="F602" s="32" t="s">
        <v>3312</v>
      </c>
      <c r="G602" s="33">
        <f t="shared" si="247"/>
        <v>59.6</v>
      </c>
      <c r="H602" s="33">
        <v>11.6</v>
      </c>
      <c r="I602" s="33">
        <v>48</v>
      </c>
      <c r="J602" s="33"/>
      <c r="K602" s="33"/>
      <c r="L602" s="33"/>
      <c r="M602" s="54">
        <f t="shared" si="248"/>
        <v>0</v>
      </c>
      <c r="N602" s="54"/>
      <c r="O602" s="54"/>
      <c r="P602" s="54"/>
      <c r="Q602" s="68">
        <f t="shared" si="249"/>
        <v>0</v>
      </c>
      <c r="R602" s="68"/>
      <c r="S602" s="68"/>
      <c r="T602" s="68"/>
      <c r="U602" s="129"/>
      <c r="V602" s="33">
        <f t="shared" si="250"/>
        <v>59.6</v>
      </c>
      <c r="W602" s="130" t="s">
        <v>2283</v>
      </c>
    </row>
    <row r="603" s="4" customFormat="1" ht="26.25" customHeight="1" spans="1:23">
      <c r="A603" s="117">
        <v>407001</v>
      </c>
      <c r="B603" s="29" t="s">
        <v>3301</v>
      </c>
      <c r="C603" s="118" t="s">
        <v>3307</v>
      </c>
      <c r="D603" s="119" t="s">
        <v>3308</v>
      </c>
      <c r="E603" s="37" t="s">
        <v>3313</v>
      </c>
      <c r="F603" s="32" t="s">
        <v>3314</v>
      </c>
      <c r="G603" s="33">
        <f t="shared" si="247"/>
        <v>47</v>
      </c>
      <c r="H603" s="33">
        <v>47</v>
      </c>
      <c r="I603" s="33"/>
      <c r="J603" s="33"/>
      <c r="K603" s="33"/>
      <c r="L603" s="33"/>
      <c r="M603" s="54">
        <f t="shared" si="248"/>
        <v>0</v>
      </c>
      <c r="N603" s="54"/>
      <c r="O603" s="54"/>
      <c r="P603" s="54"/>
      <c r="Q603" s="68">
        <f t="shared" si="249"/>
        <v>0</v>
      </c>
      <c r="R603" s="68"/>
      <c r="S603" s="68"/>
      <c r="T603" s="68"/>
      <c r="U603" s="129"/>
      <c r="V603" s="33">
        <f t="shared" si="250"/>
        <v>47</v>
      </c>
      <c r="W603" s="130" t="s">
        <v>2283</v>
      </c>
    </row>
    <row r="604" s="4" customFormat="1" ht="26.25" customHeight="1" spans="1:23">
      <c r="A604" s="117">
        <v>407001</v>
      </c>
      <c r="B604" s="29" t="s">
        <v>3301</v>
      </c>
      <c r="C604" s="118" t="s">
        <v>3315</v>
      </c>
      <c r="D604" s="119" t="s">
        <v>3316</v>
      </c>
      <c r="E604" s="30" t="s">
        <v>3317</v>
      </c>
      <c r="F604" s="32" t="s">
        <v>3318</v>
      </c>
      <c r="G604" s="33">
        <f t="shared" si="247"/>
        <v>20</v>
      </c>
      <c r="H604" s="33">
        <v>20</v>
      </c>
      <c r="I604" s="33"/>
      <c r="J604" s="33"/>
      <c r="K604" s="33"/>
      <c r="L604" s="33"/>
      <c r="M604" s="54">
        <f t="shared" si="248"/>
        <v>0</v>
      </c>
      <c r="N604" s="54"/>
      <c r="O604" s="54"/>
      <c r="P604" s="54"/>
      <c r="Q604" s="68">
        <f t="shared" si="249"/>
        <v>0</v>
      </c>
      <c r="R604" s="68"/>
      <c r="S604" s="68"/>
      <c r="T604" s="68"/>
      <c r="U604" s="129"/>
      <c r="V604" s="33">
        <f t="shared" si="250"/>
        <v>20</v>
      </c>
      <c r="W604" s="130" t="s">
        <v>2283</v>
      </c>
    </row>
    <row r="605" s="4" customFormat="1" ht="26.25" customHeight="1" spans="1:23">
      <c r="A605" s="117">
        <v>407001</v>
      </c>
      <c r="B605" s="29" t="s">
        <v>3301</v>
      </c>
      <c r="C605" s="118" t="s">
        <v>3319</v>
      </c>
      <c r="D605" s="119" t="s">
        <v>3320</v>
      </c>
      <c r="E605" s="30" t="s">
        <v>3321</v>
      </c>
      <c r="F605" s="32" t="s">
        <v>2645</v>
      </c>
      <c r="G605" s="33">
        <f t="shared" si="247"/>
        <v>20</v>
      </c>
      <c r="H605" s="33">
        <v>20</v>
      </c>
      <c r="I605" s="33"/>
      <c r="J605" s="33"/>
      <c r="K605" s="33"/>
      <c r="L605" s="33"/>
      <c r="M605" s="54">
        <f t="shared" si="248"/>
        <v>0</v>
      </c>
      <c r="N605" s="54"/>
      <c r="O605" s="54"/>
      <c r="P605" s="54"/>
      <c r="Q605" s="68">
        <f t="shared" si="249"/>
        <v>0</v>
      </c>
      <c r="R605" s="68"/>
      <c r="S605" s="68"/>
      <c r="T605" s="68"/>
      <c r="U605" s="129"/>
      <c r="V605" s="33">
        <f t="shared" si="250"/>
        <v>20</v>
      </c>
      <c r="W605" s="130" t="s">
        <v>2283</v>
      </c>
    </row>
    <row r="606" s="4" customFormat="1" ht="26.25" customHeight="1" spans="1:23">
      <c r="A606" s="117">
        <v>407001</v>
      </c>
      <c r="B606" s="29" t="s">
        <v>3301</v>
      </c>
      <c r="C606" s="118" t="s">
        <v>3322</v>
      </c>
      <c r="D606" s="29" t="s">
        <v>3323</v>
      </c>
      <c r="E606" s="30" t="s">
        <v>3324</v>
      </c>
      <c r="F606" s="32" t="s">
        <v>1067</v>
      </c>
      <c r="G606" s="33">
        <f t="shared" si="247"/>
        <v>50</v>
      </c>
      <c r="H606" s="33"/>
      <c r="I606" s="33">
        <v>50</v>
      </c>
      <c r="J606" s="33"/>
      <c r="K606" s="33"/>
      <c r="L606" s="33"/>
      <c r="M606" s="54">
        <f t="shared" si="248"/>
        <v>0</v>
      </c>
      <c r="N606" s="54"/>
      <c r="O606" s="54"/>
      <c r="P606" s="54"/>
      <c r="Q606" s="68">
        <f t="shared" si="249"/>
        <v>0</v>
      </c>
      <c r="R606" s="68"/>
      <c r="S606" s="68"/>
      <c r="T606" s="68"/>
      <c r="U606" s="129">
        <v>5</v>
      </c>
      <c r="V606" s="33">
        <f t="shared" si="250"/>
        <v>45</v>
      </c>
      <c r="W606" s="130" t="s">
        <v>2283</v>
      </c>
    </row>
    <row r="607" s="4" customFormat="1" ht="26.25" customHeight="1" spans="1:23">
      <c r="A607" s="117">
        <v>407001</v>
      </c>
      <c r="B607" s="29" t="s">
        <v>3301</v>
      </c>
      <c r="C607" s="35" t="s">
        <v>3325</v>
      </c>
      <c r="D607" s="76" t="s">
        <v>3326</v>
      </c>
      <c r="E607" s="127" t="s">
        <v>3327</v>
      </c>
      <c r="F607" s="35" t="s">
        <v>3328</v>
      </c>
      <c r="G607" s="33">
        <f t="shared" si="247"/>
        <v>0</v>
      </c>
      <c r="H607" s="33"/>
      <c r="I607" s="33"/>
      <c r="J607" s="33"/>
      <c r="K607" s="33"/>
      <c r="L607" s="33"/>
      <c r="M607" s="54">
        <f t="shared" si="248"/>
        <v>83.368</v>
      </c>
      <c r="N607" s="54"/>
      <c r="O607" s="54">
        <v>83.368</v>
      </c>
      <c r="P607" s="54"/>
      <c r="Q607" s="68">
        <f t="shared" si="249"/>
        <v>0</v>
      </c>
      <c r="R607" s="68"/>
      <c r="S607" s="68"/>
      <c r="T607" s="68"/>
      <c r="U607" s="129"/>
      <c r="V607" s="54">
        <f t="shared" si="250"/>
        <v>83.368</v>
      </c>
      <c r="W607" s="92" t="s">
        <v>476</v>
      </c>
    </row>
    <row r="608" s="4" customFormat="1" ht="26.25" customHeight="1" spans="1:23">
      <c r="A608" s="117">
        <v>407001</v>
      </c>
      <c r="B608" s="29" t="s">
        <v>3301</v>
      </c>
      <c r="C608" s="35" t="s">
        <v>3325</v>
      </c>
      <c r="D608" s="76" t="s">
        <v>3326</v>
      </c>
      <c r="E608" s="127" t="s">
        <v>3327</v>
      </c>
      <c r="F608" s="35" t="s">
        <v>3328</v>
      </c>
      <c r="G608" s="33">
        <f t="shared" si="247"/>
        <v>0</v>
      </c>
      <c r="H608" s="33"/>
      <c r="I608" s="33"/>
      <c r="J608" s="33"/>
      <c r="K608" s="33"/>
      <c r="L608" s="33"/>
      <c r="M608" s="54">
        <f t="shared" si="248"/>
        <v>70</v>
      </c>
      <c r="N608" s="54"/>
      <c r="O608" s="54">
        <v>70</v>
      </c>
      <c r="P608" s="54"/>
      <c r="Q608" s="68">
        <f t="shared" si="249"/>
        <v>0</v>
      </c>
      <c r="R608" s="68"/>
      <c r="S608" s="68"/>
      <c r="T608" s="68"/>
      <c r="U608" s="129"/>
      <c r="V608" s="54">
        <f t="shared" si="250"/>
        <v>70</v>
      </c>
      <c r="W608" s="92" t="s">
        <v>644</v>
      </c>
    </row>
    <row r="609" s="4" customFormat="1" ht="26.25" customHeight="1" spans="1:23">
      <c r="A609" s="115">
        <v>408001</v>
      </c>
      <c r="B609" s="23" t="s">
        <v>3329</v>
      </c>
      <c r="C609" s="116"/>
      <c r="D609" s="116"/>
      <c r="E609" s="84"/>
      <c r="F609" s="26"/>
      <c r="G609" s="27">
        <f t="shared" ref="G609:V609" si="251">SUM(G610:G622)</f>
        <v>217</v>
      </c>
      <c r="H609" s="27">
        <f t="shared" si="251"/>
        <v>8</v>
      </c>
      <c r="I609" s="27">
        <f t="shared" si="251"/>
        <v>209</v>
      </c>
      <c r="J609" s="27">
        <f t="shared" si="251"/>
        <v>0</v>
      </c>
      <c r="K609" s="27">
        <f t="shared" si="251"/>
        <v>3</v>
      </c>
      <c r="L609" s="27">
        <f t="shared" si="251"/>
        <v>118.9</v>
      </c>
      <c r="M609" s="27">
        <f t="shared" si="251"/>
        <v>0</v>
      </c>
      <c r="N609" s="27">
        <f t="shared" si="251"/>
        <v>0</v>
      </c>
      <c r="O609" s="27">
        <f t="shared" si="251"/>
        <v>0</v>
      </c>
      <c r="P609" s="27">
        <f t="shared" si="251"/>
        <v>0</v>
      </c>
      <c r="Q609" s="27">
        <f t="shared" si="251"/>
        <v>5221.299623</v>
      </c>
      <c r="R609" s="27">
        <f t="shared" si="251"/>
        <v>21.0088</v>
      </c>
      <c r="S609" s="27">
        <f t="shared" si="251"/>
        <v>9478.290823</v>
      </c>
      <c r="T609" s="27">
        <f t="shared" si="251"/>
        <v>4278</v>
      </c>
      <c r="U609" s="27">
        <f t="shared" si="251"/>
        <v>0</v>
      </c>
      <c r="V609" s="27">
        <f t="shared" si="251"/>
        <v>5560.199623</v>
      </c>
      <c r="W609" s="67"/>
    </row>
    <row r="610" s="4" customFormat="1" ht="26.25" customHeight="1" spans="1:23">
      <c r="A610" s="117">
        <v>408001</v>
      </c>
      <c r="B610" s="29" t="s">
        <v>3330</v>
      </c>
      <c r="C610" s="118" t="s">
        <v>3149</v>
      </c>
      <c r="D610" s="120" t="s">
        <v>2083</v>
      </c>
      <c r="E610" s="37" t="s">
        <v>3331</v>
      </c>
      <c r="F610" s="32" t="s">
        <v>956</v>
      </c>
      <c r="G610" s="33">
        <f t="shared" ref="G610:G622" si="252">SUM(H610:J610)</f>
        <v>8</v>
      </c>
      <c r="H610" s="33">
        <v>8</v>
      </c>
      <c r="I610" s="33"/>
      <c r="J610" s="33"/>
      <c r="K610" s="33"/>
      <c r="L610" s="33"/>
      <c r="M610" s="54">
        <f t="shared" ref="M610:M622" si="253">N610+O610-P610</f>
        <v>0</v>
      </c>
      <c r="N610" s="54"/>
      <c r="O610" s="54"/>
      <c r="P610" s="54"/>
      <c r="Q610" s="68">
        <f t="shared" ref="Q610:Q622" si="254">R610+S610-T610</f>
        <v>0</v>
      </c>
      <c r="R610" s="68"/>
      <c r="S610" s="68"/>
      <c r="T610" s="68"/>
      <c r="U610" s="129"/>
      <c r="V610" s="70">
        <f t="shared" ref="V610:V622" si="255">G610+K610+L610+M610+Q610-U610</f>
        <v>8</v>
      </c>
      <c r="W610" s="130" t="s">
        <v>2283</v>
      </c>
    </row>
    <row r="611" s="4" customFormat="1" ht="26.25" customHeight="1" spans="1:23">
      <c r="A611" s="117">
        <v>408001</v>
      </c>
      <c r="B611" s="29" t="s">
        <v>3330</v>
      </c>
      <c r="C611" s="118" t="s">
        <v>3149</v>
      </c>
      <c r="D611" s="29" t="s">
        <v>2083</v>
      </c>
      <c r="E611" s="30" t="s">
        <v>3332</v>
      </c>
      <c r="F611" s="32" t="s">
        <v>3333</v>
      </c>
      <c r="G611" s="33">
        <f t="shared" si="252"/>
        <v>48</v>
      </c>
      <c r="H611" s="33"/>
      <c r="I611" s="33">
        <v>48</v>
      </c>
      <c r="J611" s="33"/>
      <c r="K611" s="33"/>
      <c r="L611" s="33"/>
      <c r="M611" s="54">
        <f t="shared" si="253"/>
        <v>0</v>
      </c>
      <c r="N611" s="54"/>
      <c r="O611" s="54"/>
      <c r="P611" s="54"/>
      <c r="Q611" s="68">
        <f t="shared" si="254"/>
        <v>0</v>
      </c>
      <c r="R611" s="68"/>
      <c r="S611" s="68"/>
      <c r="T611" s="68"/>
      <c r="U611" s="129"/>
      <c r="V611" s="33">
        <f t="shared" si="255"/>
        <v>48</v>
      </c>
      <c r="W611" s="130" t="s">
        <v>2283</v>
      </c>
    </row>
    <row r="612" s="4" customFormat="1" ht="26.25" customHeight="1" spans="1:23">
      <c r="A612" s="117">
        <v>408001</v>
      </c>
      <c r="B612" s="29" t="s">
        <v>3330</v>
      </c>
      <c r="C612" s="118" t="s">
        <v>3149</v>
      </c>
      <c r="D612" s="119" t="s">
        <v>2083</v>
      </c>
      <c r="E612" s="121" t="s">
        <v>3334</v>
      </c>
      <c r="F612" s="35" t="s">
        <v>2317</v>
      </c>
      <c r="G612" s="33">
        <f t="shared" si="252"/>
        <v>0</v>
      </c>
      <c r="H612" s="33"/>
      <c r="I612" s="33"/>
      <c r="J612" s="33"/>
      <c r="K612" s="55">
        <v>3</v>
      </c>
      <c r="L612" s="33"/>
      <c r="M612" s="54">
        <f t="shared" si="253"/>
        <v>0</v>
      </c>
      <c r="N612" s="54"/>
      <c r="O612" s="54"/>
      <c r="P612" s="54"/>
      <c r="Q612" s="68">
        <f t="shared" si="254"/>
        <v>0</v>
      </c>
      <c r="R612" s="68"/>
      <c r="S612" s="68"/>
      <c r="T612" s="68"/>
      <c r="U612" s="129"/>
      <c r="V612" s="33">
        <f t="shared" si="255"/>
        <v>3</v>
      </c>
      <c r="W612" s="130" t="s">
        <v>2283</v>
      </c>
    </row>
    <row r="613" s="4" customFormat="1" ht="26.25" customHeight="1" spans="1:23">
      <c r="A613" s="117">
        <v>408001</v>
      </c>
      <c r="B613" s="29" t="s">
        <v>3330</v>
      </c>
      <c r="C613" s="118" t="s">
        <v>3335</v>
      </c>
      <c r="D613" s="29" t="s">
        <v>3336</v>
      </c>
      <c r="E613" s="30" t="s">
        <v>3337</v>
      </c>
      <c r="F613" s="32" t="s">
        <v>1071</v>
      </c>
      <c r="G613" s="33">
        <f t="shared" si="252"/>
        <v>53</v>
      </c>
      <c r="H613" s="33"/>
      <c r="I613" s="33">
        <v>53</v>
      </c>
      <c r="J613" s="33"/>
      <c r="K613" s="33"/>
      <c r="L613" s="33">
        <v>100</v>
      </c>
      <c r="M613" s="54">
        <f t="shared" si="253"/>
        <v>0</v>
      </c>
      <c r="N613" s="54"/>
      <c r="O613" s="54"/>
      <c r="P613" s="54"/>
      <c r="Q613" s="68">
        <f t="shared" si="254"/>
        <v>0</v>
      </c>
      <c r="R613" s="68"/>
      <c r="S613" s="68"/>
      <c r="T613" s="68"/>
      <c r="U613" s="129"/>
      <c r="V613" s="33">
        <f t="shared" si="255"/>
        <v>153</v>
      </c>
      <c r="W613" s="130" t="s">
        <v>2283</v>
      </c>
    </row>
    <row r="614" s="4" customFormat="1" ht="26.25" customHeight="1" spans="1:23">
      <c r="A614" s="117">
        <v>408001</v>
      </c>
      <c r="B614" s="29" t="s">
        <v>3330</v>
      </c>
      <c r="C614" s="118" t="s">
        <v>3335</v>
      </c>
      <c r="D614" s="29" t="s">
        <v>3336</v>
      </c>
      <c r="E614" s="30" t="s">
        <v>3338</v>
      </c>
      <c r="F614" s="32" t="s">
        <v>3339</v>
      </c>
      <c r="G614" s="33">
        <f t="shared" si="252"/>
        <v>108</v>
      </c>
      <c r="H614" s="33"/>
      <c r="I614" s="33">
        <v>108</v>
      </c>
      <c r="J614" s="33"/>
      <c r="K614" s="33"/>
      <c r="L614" s="33"/>
      <c r="M614" s="54">
        <f t="shared" si="253"/>
        <v>0</v>
      </c>
      <c r="N614" s="54"/>
      <c r="O614" s="54"/>
      <c r="P614" s="54"/>
      <c r="Q614" s="68">
        <f t="shared" si="254"/>
        <v>0</v>
      </c>
      <c r="R614" s="68"/>
      <c r="S614" s="68"/>
      <c r="T614" s="68"/>
      <c r="U614" s="129"/>
      <c r="V614" s="33">
        <f t="shared" si="255"/>
        <v>108</v>
      </c>
      <c r="W614" s="130" t="s">
        <v>2283</v>
      </c>
    </row>
    <row r="615" s="4" customFormat="1" ht="26.25" customHeight="1" spans="1:23">
      <c r="A615" s="117">
        <v>408001</v>
      </c>
      <c r="B615" s="29" t="s">
        <v>3330</v>
      </c>
      <c r="C615" s="118" t="s">
        <v>3335</v>
      </c>
      <c r="D615" s="86" t="s">
        <v>3336</v>
      </c>
      <c r="E615" s="121" t="s">
        <v>3340</v>
      </c>
      <c r="F615" s="38" t="s">
        <v>3341</v>
      </c>
      <c r="G615" s="33">
        <f t="shared" si="252"/>
        <v>0</v>
      </c>
      <c r="H615" s="33"/>
      <c r="I615" s="33"/>
      <c r="J615" s="33"/>
      <c r="K615" s="33"/>
      <c r="L615" s="33"/>
      <c r="M615" s="54">
        <f t="shared" si="253"/>
        <v>0</v>
      </c>
      <c r="N615" s="54"/>
      <c r="O615" s="54"/>
      <c r="P615" s="54"/>
      <c r="Q615" s="68">
        <f t="shared" si="254"/>
        <v>21.0088</v>
      </c>
      <c r="R615" s="68">
        <v>21.0088</v>
      </c>
      <c r="S615" s="68"/>
      <c r="T615" s="68"/>
      <c r="U615" s="129"/>
      <c r="V615" s="68">
        <f t="shared" si="255"/>
        <v>21.0088</v>
      </c>
      <c r="W615" s="91" t="s">
        <v>2498</v>
      </c>
    </row>
    <row r="616" s="4" customFormat="1" ht="26.25" customHeight="1" spans="1:23">
      <c r="A616" s="117">
        <v>408001</v>
      </c>
      <c r="B616" s="29" t="s">
        <v>3330</v>
      </c>
      <c r="C616" s="35" t="s">
        <v>3276</v>
      </c>
      <c r="D616" s="38" t="s">
        <v>3277</v>
      </c>
      <c r="E616" s="121" t="s">
        <v>3342</v>
      </c>
      <c r="F616" s="38" t="s">
        <v>3343</v>
      </c>
      <c r="G616" s="33">
        <f t="shared" si="252"/>
        <v>0</v>
      </c>
      <c r="H616" s="33"/>
      <c r="I616" s="33"/>
      <c r="J616" s="33"/>
      <c r="K616" s="33"/>
      <c r="L616" s="33"/>
      <c r="M616" s="54">
        <f t="shared" si="253"/>
        <v>0</v>
      </c>
      <c r="N616" s="54"/>
      <c r="O616" s="54"/>
      <c r="P616" s="54"/>
      <c r="Q616" s="68">
        <f t="shared" si="254"/>
        <v>3085.290823</v>
      </c>
      <c r="R616" s="68"/>
      <c r="S616" s="68">
        <v>4768.290823</v>
      </c>
      <c r="T616" s="68">
        <f>743+940</f>
        <v>1683</v>
      </c>
      <c r="U616" s="129"/>
      <c r="V616" s="68">
        <f t="shared" si="255"/>
        <v>3085.290823</v>
      </c>
      <c r="W616" s="91" t="s">
        <v>3344</v>
      </c>
    </row>
    <row r="617" s="4" customFormat="1" ht="26.25" customHeight="1" spans="1:23">
      <c r="A617" s="117">
        <v>408001</v>
      </c>
      <c r="B617" s="29" t="s">
        <v>3330</v>
      </c>
      <c r="C617" s="35" t="s">
        <v>3276</v>
      </c>
      <c r="D617" s="38" t="s">
        <v>3277</v>
      </c>
      <c r="E617" s="121" t="s">
        <v>3345</v>
      </c>
      <c r="F617" s="38" t="s">
        <v>3346</v>
      </c>
      <c r="G617" s="33">
        <f t="shared" si="252"/>
        <v>0</v>
      </c>
      <c r="H617" s="33"/>
      <c r="I617" s="33"/>
      <c r="J617" s="33"/>
      <c r="K617" s="33"/>
      <c r="L617" s="33"/>
      <c r="M617" s="54">
        <f t="shared" si="253"/>
        <v>0</v>
      </c>
      <c r="N617" s="54"/>
      <c r="O617" s="54"/>
      <c r="P617" s="54"/>
      <c r="Q617" s="68">
        <f t="shared" si="254"/>
        <v>2115</v>
      </c>
      <c r="R617" s="68"/>
      <c r="S617" s="68">
        <v>4710</v>
      </c>
      <c r="T617" s="68">
        <f>2400+195</f>
        <v>2595</v>
      </c>
      <c r="U617" s="129"/>
      <c r="V617" s="68">
        <f t="shared" si="255"/>
        <v>2115</v>
      </c>
      <c r="W617" s="91" t="s">
        <v>3344</v>
      </c>
    </row>
    <row r="618" s="4" customFormat="1" ht="26.25" customHeight="1" spans="1:23">
      <c r="A618" s="117">
        <v>408001</v>
      </c>
      <c r="B618" s="29" t="s">
        <v>3330</v>
      </c>
      <c r="C618" s="118">
        <v>2110302</v>
      </c>
      <c r="D618" s="29"/>
      <c r="E618" s="30"/>
      <c r="F618" s="32" t="s">
        <v>3347</v>
      </c>
      <c r="G618" s="33">
        <f t="shared" si="252"/>
        <v>0</v>
      </c>
      <c r="H618" s="33"/>
      <c r="I618" s="33"/>
      <c r="J618" s="33"/>
      <c r="K618" s="33"/>
      <c r="L618" s="33"/>
      <c r="M618" s="54">
        <f t="shared" si="253"/>
        <v>0</v>
      </c>
      <c r="N618" s="54"/>
      <c r="O618" s="54"/>
      <c r="P618" s="54"/>
      <c r="Q618" s="68">
        <f t="shared" si="254"/>
        <v>0</v>
      </c>
      <c r="R618" s="68"/>
      <c r="S618" s="68"/>
      <c r="T618" s="68"/>
      <c r="U618" s="129"/>
      <c r="V618" s="33">
        <f t="shared" si="255"/>
        <v>0</v>
      </c>
      <c r="W618" s="130"/>
    </row>
    <row r="619" s="4" customFormat="1" ht="26.25" customHeight="1" spans="1:23">
      <c r="A619" s="117">
        <v>408001</v>
      </c>
      <c r="B619" s="29" t="s">
        <v>3330</v>
      </c>
      <c r="C619" s="118">
        <v>2110304</v>
      </c>
      <c r="D619" s="29"/>
      <c r="E619" s="30"/>
      <c r="F619" s="32" t="s">
        <v>3348</v>
      </c>
      <c r="G619" s="33">
        <f t="shared" si="252"/>
        <v>0</v>
      </c>
      <c r="H619" s="33"/>
      <c r="I619" s="33"/>
      <c r="J619" s="33"/>
      <c r="K619" s="33"/>
      <c r="L619" s="33"/>
      <c r="M619" s="54">
        <f t="shared" si="253"/>
        <v>0</v>
      </c>
      <c r="N619" s="54"/>
      <c r="O619" s="54"/>
      <c r="P619" s="54"/>
      <c r="Q619" s="68">
        <f t="shared" si="254"/>
        <v>0</v>
      </c>
      <c r="R619" s="68"/>
      <c r="S619" s="68"/>
      <c r="T619" s="68"/>
      <c r="U619" s="129"/>
      <c r="V619" s="33">
        <f t="shared" si="255"/>
        <v>0</v>
      </c>
      <c r="W619" s="130"/>
    </row>
    <row r="620" s="4" customFormat="1" ht="26.25" customHeight="1" spans="1:23">
      <c r="A620" s="117">
        <v>408001</v>
      </c>
      <c r="B620" s="29" t="s">
        <v>3330</v>
      </c>
      <c r="C620" s="118">
        <v>2110299</v>
      </c>
      <c r="D620" s="29"/>
      <c r="E620" s="30"/>
      <c r="F620" s="32" t="s">
        <v>1069</v>
      </c>
      <c r="G620" s="33">
        <f t="shared" si="252"/>
        <v>0</v>
      </c>
      <c r="H620" s="33"/>
      <c r="I620" s="33"/>
      <c r="J620" s="33"/>
      <c r="K620" s="33"/>
      <c r="L620" s="33">
        <v>11.4</v>
      </c>
      <c r="M620" s="54">
        <f t="shared" si="253"/>
        <v>0</v>
      </c>
      <c r="N620" s="54"/>
      <c r="O620" s="54"/>
      <c r="P620" s="54"/>
      <c r="Q620" s="68">
        <f t="shared" si="254"/>
        <v>0</v>
      </c>
      <c r="R620" s="68"/>
      <c r="S620" s="68"/>
      <c r="T620" s="68"/>
      <c r="U620" s="129"/>
      <c r="V620" s="33">
        <f t="shared" si="255"/>
        <v>11.4</v>
      </c>
      <c r="W620" s="130"/>
    </row>
    <row r="621" s="4" customFormat="1" ht="26.25" customHeight="1" spans="1:23">
      <c r="A621" s="117">
        <v>408001</v>
      </c>
      <c r="B621" s="29" t="s">
        <v>3330</v>
      </c>
      <c r="C621" s="118">
        <v>2110299</v>
      </c>
      <c r="D621" s="29"/>
      <c r="E621" s="30"/>
      <c r="F621" s="32" t="s">
        <v>1070</v>
      </c>
      <c r="G621" s="33">
        <f t="shared" si="252"/>
        <v>0</v>
      </c>
      <c r="H621" s="33"/>
      <c r="I621" s="33"/>
      <c r="J621" s="33"/>
      <c r="K621" s="33"/>
      <c r="L621" s="33">
        <v>7.5</v>
      </c>
      <c r="M621" s="54">
        <f t="shared" si="253"/>
        <v>0</v>
      </c>
      <c r="N621" s="54"/>
      <c r="O621" s="54"/>
      <c r="P621" s="54"/>
      <c r="Q621" s="68">
        <f t="shared" si="254"/>
        <v>0</v>
      </c>
      <c r="R621" s="68"/>
      <c r="S621" s="68"/>
      <c r="T621" s="68"/>
      <c r="U621" s="129"/>
      <c r="V621" s="33">
        <f t="shared" si="255"/>
        <v>7.5</v>
      </c>
      <c r="W621" s="130"/>
    </row>
    <row r="622" s="4" customFormat="1" ht="26.25" customHeight="1" spans="1:23">
      <c r="A622" s="117">
        <v>408001</v>
      </c>
      <c r="B622" s="29" t="s">
        <v>3330</v>
      </c>
      <c r="C622" s="118">
        <v>2110299</v>
      </c>
      <c r="D622" s="29"/>
      <c r="E622" s="30"/>
      <c r="F622" s="32" t="s">
        <v>3349</v>
      </c>
      <c r="G622" s="33">
        <f t="shared" si="252"/>
        <v>0</v>
      </c>
      <c r="H622" s="33"/>
      <c r="I622" s="33"/>
      <c r="J622" s="33"/>
      <c r="K622" s="33"/>
      <c r="L622" s="33"/>
      <c r="M622" s="54">
        <f t="shared" si="253"/>
        <v>0</v>
      </c>
      <c r="N622" s="54"/>
      <c r="O622" s="54"/>
      <c r="P622" s="54"/>
      <c r="Q622" s="68">
        <f t="shared" si="254"/>
        <v>0</v>
      </c>
      <c r="R622" s="68"/>
      <c r="S622" s="68"/>
      <c r="T622" s="68"/>
      <c r="U622" s="129"/>
      <c r="V622" s="33">
        <f t="shared" si="255"/>
        <v>0</v>
      </c>
      <c r="W622" s="130"/>
    </row>
    <row r="623" s="4" customFormat="1" ht="26.25" customHeight="1" spans="1:23">
      <c r="A623" s="115">
        <v>409001</v>
      </c>
      <c r="B623" s="23" t="s">
        <v>3350</v>
      </c>
      <c r="C623" s="116"/>
      <c r="D623" s="116"/>
      <c r="E623" s="84"/>
      <c r="F623" s="26"/>
      <c r="G623" s="27">
        <f t="shared" ref="G623:V623" si="256">SUM(G624:G634)</f>
        <v>510</v>
      </c>
      <c r="H623" s="27">
        <f t="shared" si="256"/>
        <v>0</v>
      </c>
      <c r="I623" s="27">
        <f t="shared" si="256"/>
        <v>510</v>
      </c>
      <c r="J623" s="27">
        <f t="shared" si="256"/>
        <v>0</v>
      </c>
      <c r="K623" s="27">
        <f t="shared" si="256"/>
        <v>6.54</v>
      </c>
      <c r="L623" s="27">
        <f t="shared" si="256"/>
        <v>4952.38</v>
      </c>
      <c r="M623" s="27">
        <f t="shared" si="256"/>
        <v>0</v>
      </c>
      <c r="N623" s="27">
        <f t="shared" si="256"/>
        <v>0</v>
      </c>
      <c r="O623" s="27">
        <f t="shared" si="256"/>
        <v>0</v>
      </c>
      <c r="P623" s="27">
        <f t="shared" si="256"/>
        <v>0</v>
      </c>
      <c r="Q623" s="27">
        <f t="shared" si="256"/>
        <v>440.60494</v>
      </c>
      <c r="R623" s="27">
        <f t="shared" si="256"/>
        <v>0</v>
      </c>
      <c r="S623" s="27">
        <f t="shared" si="256"/>
        <v>453.65494</v>
      </c>
      <c r="T623" s="27">
        <f t="shared" si="256"/>
        <v>13.05</v>
      </c>
      <c r="U623" s="27">
        <f t="shared" si="256"/>
        <v>459</v>
      </c>
      <c r="V623" s="27">
        <f t="shared" si="256"/>
        <v>5450.52494</v>
      </c>
      <c r="W623" s="67"/>
    </row>
    <row r="624" s="4" customFormat="1" ht="26.25" customHeight="1" spans="1:23">
      <c r="A624" s="117">
        <v>409001</v>
      </c>
      <c r="B624" s="29" t="s">
        <v>3351</v>
      </c>
      <c r="C624" s="35" t="s">
        <v>3352</v>
      </c>
      <c r="D624" s="38" t="s">
        <v>3353</v>
      </c>
      <c r="E624" s="121" t="s">
        <v>3354</v>
      </c>
      <c r="F624" s="38" t="s">
        <v>3355</v>
      </c>
      <c r="G624" s="33">
        <f t="shared" ref="G624:G634" si="257">SUM(H624:J624)</f>
        <v>0</v>
      </c>
      <c r="H624" s="33"/>
      <c r="I624" s="33"/>
      <c r="J624" s="33"/>
      <c r="K624" s="33"/>
      <c r="L624" s="33"/>
      <c r="M624" s="54">
        <f t="shared" ref="M624:M634" si="258">N624+O624-P624</f>
        <v>0</v>
      </c>
      <c r="N624" s="54"/>
      <c r="O624" s="54"/>
      <c r="P624" s="54"/>
      <c r="Q624" s="68">
        <f t="shared" ref="Q624:Q634" si="259">R624+S624-T624</f>
        <v>270</v>
      </c>
      <c r="R624" s="68"/>
      <c r="S624" s="68">
        <v>283.05</v>
      </c>
      <c r="T624" s="68">
        <v>13.05</v>
      </c>
      <c r="U624" s="129"/>
      <c r="V624" s="68">
        <f t="shared" ref="V624:V634" si="260">G624+K624+L624+M624+Q624-U624</f>
        <v>270</v>
      </c>
      <c r="W624" s="142" t="s">
        <v>3356</v>
      </c>
    </row>
    <row r="625" s="4" customFormat="1" ht="26.25" customHeight="1" spans="1:23">
      <c r="A625" s="117">
        <v>409001</v>
      </c>
      <c r="B625" s="29" t="s">
        <v>3351</v>
      </c>
      <c r="C625" s="118" t="s">
        <v>3357</v>
      </c>
      <c r="D625" s="119" t="s">
        <v>2083</v>
      </c>
      <c r="E625" s="30" t="s">
        <v>3358</v>
      </c>
      <c r="F625" s="32" t="s">
        <v>1077</v>
      </c>
      <c r="G625" s="33">
        <f t="shared" si="257"/>
        <v>60</v>
      </c>
      <c r="H625" s="33"/>
      <c r="I625" s="33">
        <v>60</v>
      </c>
      <c r="J625" s="33"/>
      <c r="K625" s="33"/>
      <c r="L625" s="33"/>
      <c r="M625" s="54">
        <f t="shared" si="258"/>
        <v>0</v>
      </c>
      <c r="N625" s="54"/>
      <c r="O625" s="54"/>
      <c r="P625" s="54"/>
      <c r="Q625" s="68">
        <f t="shared" si="259"/>
        <v>0</v>
      </c>
      <c r="R625" s="68"/>
      <c r="S625" s="68"/>
      <c r="T625" s="68"/>
      <c r="U625" s="129">
        <v>6</v>
      </c>
      <c r="V625" s="33">
        <f t="shared" si="260"/>
        <v>54</v>
      </c>
      <c r="W625" s="130" t="s">
        <v>2283</v>
      </c>
    </row>
    <row r="626" s="4" customFormat="1" ht="26.25" customHeight="1" spans="1:23">
      <c r="A626" s="117">
        <v>409001</v>
      </c>
      <c r="B626" s="29" t="s">
        <v>3351</v>
      </c>
      <c r="C626" s="118" t="s">
        <v>3357</v>
      </c>
      <c r="D626" s="119" t="s">
        <v>2083</v>
      </c>
      <c r="E626" s="121" t="s">
        <v>3359</v>
      </c>
      <c r="F626" s="35" t="s">
        <v>2317</v>
      </c>
      <c r="G626" s="33">
        <f t="shared" si="257"/>
        <v>0</v>
      </c>
      <c r="H626" s="33"/>
      <c r="I626" s="33"/>
      <c r="J626" s="33"/>
      <c r="K626" s="55">
        <v>6.54</v>
      </c>
      <c r="L626" s="33"/>
      <c r="M626" s="54">
        <f t="shared" si="258"/>
        <v>0</v>
      </c>
      <c r="N626" s="54"/>
      <c r="O626" s="54"/>
      <c r="P626" s="54"/>
      <c r="Q626" s="68">
        <f t="shared" si="259"/>
        <v>0</v>
      </c>
      <c r="R626" s="68"/>
      <c r="S626" s="68"/>
      <c r="T626" s="68"/>
      <c r="U626" s="129"/>
      <c r="V626" s="33">
        <f t="shared" si="260"/>
        <v>6.54</v>
      </c>
      <c r="W626" s="130" t="s">
        <v>2283</v>
      </c>
    </row>
    <row r="627" s="4" customFormat="1" ht="26.25" customHeight="1" spans="1:23">
      <c r="A627" s="117">
        <v>409001</v>
      </c>
      <c r="B627" s="29" t="s">
        <v>3351</v>
      </c>
      <c r="C627" s="118" t="s">
        <v>3357</v>
      </c>
      <c r="D627" s="29" t="s">
        <v>2083</v>
      </c>
      <c r="E627" s="121" t="s">
        <v>3360</v>
      </c>
      <c r="F627" s="35" t="s">
        <v>1073</v>
      </c>
      <c r="G627" s="33">
        <f t="shared" si="257"/>
        <v>0</v>
      </c>
      <c r="H627" s="33"/>
      <c r="I627" s="33"/>
      <c r="J627" s="33"/>
      <c r="K627" s="33"/>
      <c r="L627" s="128">
        <v>15</v>
      </c>
      <c r="M627" s="54">
        <f t="shared" si="258"/>
        <v>0</v>
      </c>
      <c r="N627" s="54"/>
      <c r="O627" s="54"/>
      <c r="P627" s="54"/>
      <c r="Q627" s="68">
        <f t="shared" si="259"/>
        <v>0</v>
      </c>
      <c r="R627" s="68"/>
      <c r="S627" s="68"/>
      <c r="T627" s="68"/>
      <c r="U627" s="129">
        <v>3</v>
      </c>
      <c r="V627" s="33">
        <f t="shared" si="260"/>
        <v>12</v>
      </c>
      <c r="W627" s="130" t="s">
        <v>2283</v>
      </c>
    </row>
    <row r="628" s="4" customFormat="1" ht="26.25" customHeight="1" spans="1:23">
      <c r="A628" s="117">
        <v>409001</v>
      </c>
      <c r="B628" s="29" t="s">
        <v>3351</v>
      </c>
      <c r="C628" s="118" t="s">
        <v>3361</v>
      </c>
      <c r="D628" s="29" t="s">
        <v>3362</v>
      </c>
      <c r="E628" s="30" t="s">
        <v>3363</v>
      </c>
      <c r="F628" s="32" t="s">
        <v>1078</v>
      </c>
      <c r="G628" s="33">
        <f t="shared" si="257"/>
        <v>450</v>
      </c>
      <c r="H628" s="33"/>
      <c r="I628" s="33">
        <v>450</v>
      </c>
      <c r="J628" s="33"/>
      <c r="K628" s="33"/>
      <c r="L628" s="33"/>
      <c r="M628" s="54">
        <f t="shared" si="258"/>
        <v>0</v>
      </c>
      <c r="N628" s="54"/>
      <c r="O628" s="54"/>
      <c r="P628" s="54"/>
      <c r="Q628" s="68">
        <f t="shared" si="259"/>
        <v>0</v>
      </c>
      <c r="R628" s="68"/>
      <c r="S628" s="68"/>
      <c r="T628" s="68"/>
      <c r="U628" s="129">
        <v>450</v>
      </c>
      <c r="V628" s="33">
        <f t="shared" si="260"/>
        <v>0</v>
      </c>
      <c r="W628" s="130" t="s">
        <v>2283</v>
      </c>
    </row>
    <row r="629" s="4" customFormat="1" ht="26.25" customHeight="1" spans="1:23">
      <c r="A629" s="117">
        <v>409001</v>
      </c>
      <c r="B629" s="29" t="s">
        <v>3351</v>
      </c>
      <c r="C629" s="118" t="s">
        <v>3361</v>
      </c>
      <c r="D629" s="29" t="s">
        <v>3362</v>
      </c>
      <c r="E629" s="121" t="s">
        <v>3364</v>
      </c>
      <c r="F629" s="35" t="s">
        <v>1074</v>
      </c>
      <c r="G629" s="33">
        <f t="shared" si="257"/>
        <v>0</v>
      </c>
      <c r="H629" s="33"/>
      <c r="I629" s="33"/>
      <c r="J629" s="33"/>
      <c r="K629" s="33"/>
      <c r="L629" s="128">
        <v>4700</v>
      </c>
      <c r="M629" s="54">
        <f t="shared" si="258"/>
        <v>0</v>
      </c>
      <c r="N629" s="54"/>
      <c r="O629" s="54"/>
      <c r="P629" s="54"/>
      <c r="Q629" s="68">
        <f t="shared" si="259"/>
        <v>0</v>
      </c>
      <c r="R629" s="68"/>
      <c r="S629" s="68"/>
      <c r="T629" s="68"/>
      <c r="U629" s="129"/>
      <c r="V629" s="33">
        <f t="shared" si="260"/>
        <v>4700</v>
      </c>
      <c r="W629" s="130" t="s">
        <v>2283</v>
      </c>
    </row>
    <row r="630" s="4" customFormat="1" ht="26.25" customHeight="1" spans="1:23">
      <c r="A630" s="117">
        <v>409001</v>
      </c>
      <c r="B630" s="29" t="s">
        <v>3351</v>
      </c>
      <c r="C630" s="118" t="s">
        <v>3361</v>
      </c>
      <c r="D630" s="29" t="s">
        <v>3362</v>
      </c>
      <c r="E630" s="121" t="s">
        <v>3365</v>
      </c>
      <c r="F630" s="35" t="s">
        <v>1075</v>
      </c>
      <c r="G630" s="33">
        <f t="shared" si="257"/>
        <v>0</v>
      </c>
      <c r="H630" s="33"/>
      <c r="I630" s="33"/>
      <c r="J630" s="33"/>
      <c r="K630" s="33"/>
      <c r="L630" s="33">
        <v>237.38</v>
      </c>
      <c r="M630" s="54">
        <f t="shared" si="258"/>
        <v>0</v>
      </c>
      <c r="N630" s="54"/>
      <c r="O630" s="54"/>
      <c r="P630" s="54"/>
      <c r="Q630" s="68">
        <f t="shared" si="259"/>
        <v>0</v>
      </c>
      <c r="R630" s="68"/>
      <c r="S630" s="68"/>
      <c r="T630" s="68"/>
      <c r="U630" s="129"/>
      <c r="V630" s="33">
        <f t="shared" si="260"/>
        <v>237.38</v>
      </c>
      <c r="W630" s="130" t="s">
        <v>2283</v>
      </c>
    </row>
    <row r="631" s="4" customFormat="1" ht="26.25" customHeight="1" spans="1:23">
      <c r="A631" s="117">
        <v>409001</v>
      </c>
      <c r="B631" s="29" t="s">
        <v>3351</v>
      </c>
      <c r="C631" s="35" t="s">
        <v>3366</v>
      </c>
      <c r="D631" s="38" t="s">
        <v>3367</v>
      </c>
      <c r="E631" s="121" t="s">
        <v>3368</v>
      </c>
      <c r="F631" s="38" t="s">
        <v>3369</v>
      </c>
      <c r="G631" s="33">
        <f t="shared" si="257"/>
        <v>0</v>
      </c>
      <c r="H631" s="33"/>
      <c r="I631" s="33"/>
      <c r="J631" s="33"/>
      <c r="K631" s="33"/>
      <c r="L631" s="33"/>
      <c r="M631" s="54">
        <f t="shared" si="258"/>
        <v>0</v>
      </c>
      <c r="N631" s="54"/>
      <c r="O631" s="54"/>
      <c r="P631" s="54"/>
      <c r="Q631" s="68">
        <f t="shared" si="259"/>
        <v>96</v>
      </c>
      <c r="R631" s="68"/>
      <c r="S631" s="68">
        <v>96</v>
      </c>
      <c r="T631" s="68"/>
      <c r="U631" s="129"/>
      <c r="V631" s="68">
        <f t="shared" si="260"/>
        <v>96</v>
      </c>
      <c r="W631" s="91" t="s">
        <v>3370</v>
      </c>
    </row>
    <row r="632" s="4" customFormat="1" ht="26.25" customHeight="1" spans="1:23">
      <c r="A632" s="117">
        <v>409001</v>
      </c>
      <c r="B632" s="29" t="s">
        <v>3351</v>
      </c>
      <c r="C632" s="35" t="s">
        <v>3366</v>
      </c>
      <c r="D632" s="38" t="s">
        <v>3367</v>
      </c>
      <c r="E632" s="121" t="s">
        <v>3371</v>
      </c>
      <c r="F632" s="38" t="s">
        <v>3372</v>
      </c>
      <c r="G632" s="33">
        <f t="shared" si="257"/>
        <v>0</v>
      </c>
      <c r="H632" s="33"/>
      <c r="I632" s="33"/>
      <c r="J632" s="33"/>
      <c r="K632" s="33"/>
      <c r="L632" s="33"/>
      <c r="M632" s="54">
        <f t="shared" si="258"/>
        <v>0</v>
      </c>
      <c r="N632" s="54"/>
      <c r="O632" s="54"/>
      <c r="P632" s="54"/>
      <c r="Q632" s="68">
        <f t="shared" si="259"/>
        <v>8</v>
      </c>
      <c r="R632" s="68"/>
      <c r="S632" s="68">
        <v>8</v>
      </c>
      <c r="T632" s="68"/>
      <c r="U632" s="129"/>
      <c r="V632" s="68">
        <f t="shared" si="260"/>
        <v>8</v>
      </c>
      <c r="W632" s="91" t="s">
        <v>3373</v>
      </c>
    </row>
    <row r="633" s="4" customFormat="1" ht="26.25" customHeight="1" spans="1:23">
      <c r="A633" s="117">
        <v>409001</v>
      </c>
      <c r="B633" s="29" t="s">
        <v>3351</v>
      </c>
      <c r="C633" s="35" t="s">
        <v>3366</v>
      </c>
      <c r="D633" s="38" t="s">
        <v>3367</v>
      </c>
      <c r="E633" s="121" t="s">
        <v>3374</v>
      </c>
      <c r="F633" s="38" t="s">
        <v>3375</v>
      </c>
      <c r="G633" s="33">
        <f t="shared" si="257"/>
        <v>0</v>
      </c>
      <c r="H633" s="33"/>
      <c r="I633" s="33"/>
      <c r="J633" s="33"/>
      <c r="K633" s="33"/>
      <c r="L633" s="33"/>
      <c r="M633" s="54">
        <f t="shared" si="258"/>
        <v>0</v>
      </c>
      <c r="N633" s="54"/>
      <c r="O633" s="54"/>
      <c r="P633" s="54"/>
      <c r="Q633" s="68">
        <f t="shared" si="259"/>
        <v>24.05294</v>
      </c>
      <c r="R633" s="68"/>
      <c r="S633" s="68">
        <v>24.05294</v>
      </c>
      <c r="T633" s="68"/>
      <c r="U633" s="129"/>
      <c r="V633" s="68">
        <f t="shared" si="260"/>
        <v>24.05294</v>
      </c>
      <c r="W633" s="91" t="s">
        <v>3376</v>
      </c>
    </row>
    <row r="634" s="4" customFormat="1" ht="26.25" customHeight="1" spans="1:23">
      <c r="A634" s="117">
        <v>409001</v>
      </c>
      <c r="B634" s="29" t="s">
        <v>3351</v>
      </c>
      <c r="C634" s="35" t="s">
        <v>3366</v>
      </c>
      <c r="D634" s="38" t="s">
        <v>3367</v>
      </c>
      <c r="E634" s="121" t="s">
        <v>3377</v>
      </c>
      <c r="F634" s="38" t="s">
        <v>3378</v>
      </c>
      <c r="G634" s="33">
        <f t="shared" si="257"/>
        <v>0</v>
      </c>
      <c r="H634" s="33"/>
      <c r="I634" s="33"/>
      <c r="J634" s="33"/>
      <c r="K634" s="33"/>
      <c r="L634" s="33"/>
      <c r="M634" s="54">
        <f t="shared" si="258"/>
        <v>0</v>
      </c>
      <c r="N634" s="54"/>
      <c r="O634" s="54"/>
      <c r="P634" s="54"/>
      <c r="Q634" s="68">
        <f t="shared" si="259"/>
        <v>42.552</v>
      </c>
      <c r="R634" s="68"/>
      <c r="S634" s="73">
        <v>42.552</v>
      </c>
      <c r="T634" s="68"/>
      <c r="U634" s="129"/>
      <c r="V634" s="68">
        <f t="shared" si="260"/>
        <v>42.552</v>
      </c>
      <c r="W634" s="91" t="s">
        <v>3379</v>
      </c>
    </row>
    <row r="635" s="4" customFormat="1" ht="26.25" customHeight="1" spans="1:23">
      <c r="A635" s="115">
        <v>410001</v>
      </c>
      <c r="B635" s="23" t="s">
        <v>1380</v>
      </c>
      <c r="C635" s="116"/>
      <c r="D635" s="116"/>
      <c r="E635" s="84"/>
      <c r="F635" s="26"/>
      <c r="G635" s="27">
        <f t="shared" ref="G635:V635" si="261">SUM(G636:G637)</f>
        <v>8</v>
      </c>
      <c r="H635" s="27">
        <f t="shared" si="261"/>
        <v>8</v>
      </c>
      <c r="I635" s="27">
        <f t="shared" si="261"/>
        <v>0</v>
      </c>
      <c r="J635" s="27">
        <f t="shared" si="261"/>
        <v>0</v>
      </c>
      <c r="K635" s="27">
        <f t="shared" si="261"/>
        <v>1.3</v>
      </c>
      <c r="L635" s="27">
        <f t="shared" si="261"/>
        <v>0</v>
      </c>
      <c r="M635" s="27">
        <f t="shared" si="261"/>
        <v>0</v>
      </c>
      <c r="N635" s="27">
        <f t="shared" si="261"/>
        <v>0</v>
      </c>
      <c r="O635" s="27">
        <f t="shared" si="261"/>
        <v>0</v>
      </c>
      <c r="P635" s="27">
        <f t="shared" si="261"/>
        <v>0</v>
      </c>
      <c r="Q635" s="27">
        <f t="shared" si="261"/>
        <v>0</v>
      </c>
      <c r="R635" s="27">
        <f t="shared" si="261"/>
        <v>0</v>
      </c>
      <c r="S635" s="27">
        <f t="shared" si="261"/>
        <v>0</v>
      </c>
      <c r="T635" s="27">
        <f t="shared" si="261"/>
        <v>0</v>
      </c>
      <c r="U635" s="27">
        <f t="shared" si="261"/>
        <v>0</v>
      </c>
      <c r="V635" s="27">
        <f t="shared" si="261"/>
        <v>9.3</v>
      </c>
      <c r="W635" s="67"/>
    </row>
    <row r="636" s="4" customFormat="1" ht="26.25" customHeight="1" spans="1:23">
      <c r="A636" s="117">
        <v>410001</v>
      </c>
      <c r="B636" s="29" t="s">
        <v>2058</v>
      </c>
      <c r="C636" s="118" t="s">
        <v>3357</v>
      </c>
      <c r="D636" s="119" t="s">
        <v>2083</v>
      </c>
      <c r="E636" s="30" t="s">
        <v>3380</v>
      </c>
      <c r="F636" s="32" t="s">
        <v>3138</v>
      </c>
      <c r="G636" s="33">
        <f t="shared" ref="G636:G679" si="262">SUM(H636:J636)</f>
        <v>8</v>
      </c>
      <c r="H636" s="33">
        <v>8</v>
      </c>
      <c r="I636" s="33"/>
      <c r="J636" s="33"/>
      <c r="K636" s="33"/>
      <c r="L636" s="33"/>
      <c r="M636" s="54">
        <f t="shared" ref="M636:M679" si="263">N636+O636-P636</f>
        <v>0</v>
      </c>
      <c r="N636" s="54"/>
      <c r="O636" s="54"/>
      <c r="P636" s="54"/>
      <c r="Q636" s="68">
        <f t="shared" ref="Q636:Q679" si="264">R636+S636-T636</f>
        <v>0</v>
      </c>
      <c r="R636" s="68"/>
      <c r="S636" s="68"/>
      <c r="T636" s="68"/>
      <c r="U636" s="129"/>
      <c r="V636" s="33">
        <f t="shared" ref="V636:V679" si="265">G636+K636+L636+M636+Q636-U636</f>
        <v>8</v>
      </c>
      <c r="W636" s="130" t="s">
        <v>2283</v>
      </c>
    </row>
    <row r="637" s="4" customFormat="1" ht="26.25" customHeight="1" spans="1:23">
      <c r="A637" s="117">
        <v>410001</v>
      </c>
      <c r="B637" s="29" t="s">
        <v>2058</v>
      </c>
      <c r="C637" s="118" t="s">
        <v>3357</v>
      </c>
      <c r="D637" s="119" t="s">
        <v>2083</v>
      </c>
      <c r="E637" s="121" t="s">
        <v>3381</v>
      </c>
      <c r="F637" s="35" t="s">
        <v>2317</v>
      </c>
      <c r="G637" s="33">
        <f t="shared" si="262"/>
        <v>0</v>
      </c>
      <c r="H637" s="33"/>
      <c r="I637" s="33"/>
      <c r="J637" s="33"/>
      <c r="K637" s="55">
        <v>1.3</v>
      </c>
      <c r="L637" s="33"/>
      <c r="M637" s="54">
        <f t="shared" si="263"/>
        <v>0</v>
      </c>
      <c r="N637" s="54"/>
      <c r="O637" s="54"/>
      <c r="P637" s="54"/>
      <c r="Q637" s="68">
        <f t="shared" si="264"/>
        <v>0</v>
      </c>
      <c r="R637" s="68"/>
      <c r="S637" s="68"/>
      <c r="T637" s="68"/>
      <c r="U637" s="129"/>
      <c r="V637" s="33">
        <f t="shared" si="265"/>
        <v>1.3</v>
      </c>
      <c r="W637" s="130" t="s">
        <v>2283</v>
      </c>
    </row>
    <row r="638" s="4" customFormat="1" ht="26.25" customHeight="1" spans="1:23">
      <c r="A638" s="115">
        <v>601001</v>
      </c>
      <c r="B638" s="23" t="s">
        <v>1382</v>
      </c>
      <c r="C638" s="116"/>
      <c r="D638" s="116"/>
      <c r="E638" s="84"/>
      <c r="F638" s="26"/>
      <c r="G638" s="27">
        <f t="shared" ref="G638:V638" si="266">SUM(G639:G679)</f>
        <v>1376.74</v>
      </c>
      <c r="H638" s="27">
        <f t="shared" si="266"/>
        <v>1249.28</v>
      </c>
      <c r="I638" s="27">
        <f t="shared" si="266"/>
        <v>116.06</v>
      </c>
      <c r="J638" s="27">
        <f t="shared" si="266"/>
        <v>11.4</v>
      </c>
      <c r="K638" s="27">
        <f t="shared" si="266"/>
        <v>196.875</v>
      </c>
      <c r="L638" s="27">
        <f t="shared" si="266"/>
        <v>247.55</v>
      </c>
      <c r="M638" s="27">
        <f t="shared" si="266"/>
        <v>79.6</v>
      </c>
      <c r="N638" s="27">
        <f t="shared" si="266"/>
        <v>-11.4</v>
      </c>
      <c r="O638" s="27">
        <f t="shared" si="266"/>
        <v>91</v>
      </c>
      <c r="P638" s="27">
        <f t="shared" si="266"/>
        <v>0</v>
      </c>
      <c r="Q638" s="27">
        <f t="shared" si="266"/>
        <v>320.66838</v>
      </c>
      <c r="R638" s="27">
        <f t="shared" si="266"/>
        <v>259.05</v>
      </c>
      <c r="S638" s="27">
        <f t="shared" si="266"/>
        <v>61.61838</v>
      </c>
      <c r="T638" s="27">
        <f t="shared" si="266"/>
        <v>0</v>
      </c>
      <c r="U638" s="27">
        <f t="shared" si="266"/>
        <v>0</v>
      </c>
      <c r="V638" s="27">
        <f t="shared" si="266"/>
        <v>2221.43338</v>
      </c>
      <c r="W638" s="67"/>
    </row>
    <row r="639" s="4" customFormat="1" ht="26.25" customHeight="1" spans="1:23">
      <c r="A639" s="117">
        <v>601001</v>
      </c>
      <c r="B639" s="29" t="s">
        <v>2068</v>
      </c>
      <c r="C639" s="118" t="s">
        <v>3382</v>
      </c>
      <c r="D639" s="119" t="s">
        <v>3383</v>
      </c>
      <c r="E639" s="30" t="s">
        <v>3384</v>
      </c>
      <c r="F639" s="32" t="s">
        <v>3385</v>
      </c>
      <c r="G639" s="33">
        <f t="shared" si="262"/>
        <v>5</v>
      </c>
      <c r="H639" s="33">
        <v>5</v>
      </c>
      <c r="I639" s="33"/>
      <c r="J639" s="33"/>
      <c r="K639" s="33"/>
      <c r="L639" s="33"/>
      <c r="M639" s="54">
        <f t="shared" si="263"/>
        <v>0</v>
      </c>
      <c r="N639" s="54"/>
      <c r="O639" s="54"/>
      <c r="P639" s="54"/>
      <c r="Q639" s="68">
        <f t="shared" si="264"/>
        <v>0</v>
      </c>
      <c r="R639" s="68"/>
      <c r="S639" s="68"/>
      <c r="T639" s="68"/>
      <c r="U639" s="129"/>
      <c r="V639" s="33">
        <f t="shared" si="265"/>
        <v>5</v>
      </c>
      <c r="W639" s="130" t="s">
        <v>2283</v>
      </c>
    </row>
    <row r="640" s="4" customFormat="1" ht="26.25" customHeight="1" spans="1:23">
      <c r="A640" s="117">
        <v>601001</v>
      </c>
      <c r="B640" s="29" t="s">
        <v>2068</v>
      </c>
      <c r="C640" s="35" t="s">
        <v>1438</v>
      </c>
      <c r="D640" s="40" t="s">
        <v>1439</v>
      </c>
      <c r="E640" s="121" t="s">
        <v>3386</v>
      </c>
      <c r="F640" s="35" t="s">
        <v>1087</v>
      </c>
      <c r="G640" s="33">
        <f t="shared" si="262"/>
        <v>0</v>
      </c>
      <c r="H640" s="33"/>
      <c r="I640" s="33"/>
      <c r="J640" s="33"/>
      <c r="K640" s="55">
        <v>150</v>
      </c>
      <c r="L640" s="33"/>
      <c r="M640" s="54">
        <f t="shared" si="263"/>
        <v>0</v>
      </c>
      <c r="N640" s="54"/>
      <c r="O640" s="54"/>
      <c r="P640" s="54"/>
      <c r="Q640" s="68">
        <f t="shared" si="264"/>
        <v>0</v>
      </c>
      <c r="R640" s="68"/>
      <c r="S640" s="68"/>
      <c r="T640" s="68"/>
      <c r="U640" s="129"/>
      <c r="V640" s="33">
        <f t="shared" si="265"/>
        <v>150</v>
      </c>
      <c r="W640" s="130" t="s">
        <v>2283</v>
      </c>
    </row>
    <row r="641" s="4" customFormat="1" ht="26.25" customHeight="1" spans="1:23">
      <c r="A641" s="117">
        <v>601001</v>
      </c>
      <c r="B641" s="29" t="s">
        <v>2068</v>
      </c>
      <c r="C641" s="118" t="s">
        <v>2280</v>
      </c>
      <c r="D641" s="119" t="s">
        <v>2083</v>
      </c>
      <c r="E641" s="30" t="s">
        <v>3387</v>
      </c>
      <c r="F641" s="32" t="s">
        <v>3388</v>
      </c>
      <c r="G641" s="33">
        <f t="shared" si="262"/>
        <v>7.2</v>
      </c>
      <c r="H641" s="33">
        <v>7.2</v>
      </c>
      <c r="I641" s="33"/>
      <c r="J641" s="33"/>
      <c r="K641" s="33"/>
      <c r="L641" s="33"/>
      <c r="M641" s="54">
        <f t="shared" si="263"/>
        <v>0</v>
      </c>
      <c r="N641" s="54"/>
      <c r="O641" s="54"/>
      <c r="P641" s="54"/>
      <c r="Q641" s="68">
        <f t="shared" si="264"/>
        <v>0</v>
      </c>
      <c r="R641" s="68"/>
      <c r="S641" s="68"/>
      <c r="T641" s="68"/>
      <c r="U641" s="129"/>
      <c r="V641" s="33">
        <f t="shared" si="265"/>
        <v>7.2</v>
      </c>
      <c r="W641" s="130" t="s">
        <v>2283</v>
      </c>
    </row>
    <row r="642" s="4" customFormat="1" ht="26.25" customHeight="1" spans="1:23">
      <c r="A642" s="117">
        <v>601001</v>
      </c>
      <c r="B642" s="29" t="s">
        <v>2068</v>
      </c>
      <c r="C642" s="118" t="s">
        <v>2280</v>
      </c>
      <c r="D642" s="29" t="s">
        <v>2083</v>
      </c>
      <c r="E642" s="30" t="s">
        <v>3389</v>
      </c>
      <c r="F642" s="32" t="s">
        <v>1080</v>
      </c>
      <c r="G642" s="33">
        <f t="shared" si="262"/>
        <v>116.06</v>
      </c>
      <c r="H642" s="33"/>
      <c r="I642" s="33">
        <v>116.06</v>
      </c>
      <c r="J642" s="33"/>
      <c r="K642" s="33"/>
      <c r="L642" s="33">
        <f>64.55+15</f>
        <v>79.55</v>
      </c>
      <c r="M642" s="54">
        <f t="shared" si="263"/>
        <v>0</v>
      </c>
      <c r="N642" s="54"/>
      <c r="O642" s="54"/>
      <c r="P642" s="54"/>
      <c r="Q642" s="68">
        <f t="shared" si="264"/>
        <v>0</v>
      </c>
      <c r="R642" s="68"/>
      <c r="S642" s="68"/>
      <c r="T642" s="68"/>
      <c r="U642" s="129"/>
      <c r="V642" s="33">
        <f t="shared" si="265"/>
        <v>195.61</v>
      </c>
      <c r="W642" s="130" t="s">
        <v>2283</v>
      </c>
    </row>
    <row r="643" s="4" customFormat="1" ht="26.25" customHeight="1" spans="1:23">
      <c r="A643" s="117">
        <v>601001</v>
      </c>
      <c r="B643" s="29" t="s">
        <v>2068</v>
      </c>
      <c r="C643" s="118" t="s">
        <v>2280</v>
      </c>
      <c r="D643" s="119" t="s">
        <v>2083</v>
      </c>
      <c r="E643" s="30" t="s">
        <v>3390</v>
      </c>
      <c r="F643" s="32" t="s">
        <v>2288</v>
      </c>
      <c r="G643" s="33">
        <f t="shared" si="262"/>
        <v>2.4</v>
      </c>
      <c r="H643" s="33">
        <v>2.4</v>
      </c>
      <c r="I643" s="33"/>
      <c r="J643" s="33"/>
      <c r="K643" s="33"/>
      <c r="L643" s="33"/>
      <c r="M643" s="54">
        <f t="shared" si="263"/>
        <v>0</v>
      </c>
      <c r="N643" s="54"/>
      <c r="O643" s="54"/>
      <c r="P643" s="54"/>
      <c r="Q643" s="68">
        <f t="shared" si="264"/>
        <v>0</v>
      </c>
      <c r="R643" s="68"/>
      <c r="S643" s="68"/>
      <c r="T643" s="68"/>
      <c r="U643" s="129"/>
      <c r="V643" s="33">
        <f t="shared" si="265"/>
        <v>2.4</v>
      </c>
      <c r="W643" s="130" t="s">
        <v>2283</v>
      </c>
    </row>
    <row r="644" s="4" customFormat="1" ht="26.25" customHeight="1" spans="1:23">
      <c r="A644" s="117">
        <v>601001</v>
      </c>
      <c r="B644" s="29" t="s">
        <v>2068</v>
      </c>
      <c r="C644" s="118" t="s">
        <v>2280</v>
      </c>
      <c r="D644" s="119" t="s">
        <v>2083</v>
      </c>
      <c r="E644" s="30" t="s">
        <v>3391</v>
      </c>
      <c r="F644" s="32" t="s">
        <v>3392</v>
      </c>
      <c r="G644" s="33">
        <f t="shared" si="262"/>
        <v>12.5</v>
      </c>
      <c r="H644" s="33">
        <v>12.5</v>
      </c>
      <c r="I644" s="33"/>
      <c r="J644" s="33"/>
      <c r="K644" s="33"/>
      <c r="L644" s="33"/>
      <c r="M644" s="54">
        <f t="shared" si="263"/>
        <v>0</v>
      </c>
      <c r="N644" s="54"/>
      <c r="O644" s="54"/>
      <c r="P644" s="54"/>
      <c r="Q644" s="68">
        <f t="shared" si="264"/>
        <v>0</v>
      </c>
      <c r="R644" s="68"/>
      <c r="S644" s="68"/>
      <c r="T644" s="68"/>
      <c r="U644" s="129"/>
      <c r="V644" s="33">
        <f t="shared" si="265"/>
        <v>12.5</v>
      </c>
      <c r="W644" s="130" t="s">
        <v>2283</v>
      </c>
    </row>
    <row r="645" s="4" customFormat="1" ht="26.25" customHeight="1" spans="1:23">
      <c r="A645" s="117">
        <v>601001</v>
      </c>
      <c r="B645" s="29" t="s">
        <v>2068</v>
      </c>
      <c r="C645" s="118" t="s">
        <v>2280</v>
      </c>
      <c r="D645" s="119" t="s">
        <v>2083</v>
      </c>
      <c r="E645" s="30" t="s">
        <v>3393</v>
      </c>
      <c r="F645" s="32" t="s">
        <v>3394</v>
      </c>
      <c r="G645" s="33">
        <f t="shared" si="262"/>
        <v>2.4</v>
      </c>
      <c r="H645" s="33">
        <v>2.4</v>
      </c>
      <c r="I645" s="33"/>
      <c r="J645" s="33"/>
      <c r="K645" s="33"/>
      <c r="L645" s="33"/>
      <c r="M645" s="54">
        <f t="shared" si="263"/>
        <v>0</v>
      </c>
      <c r="N645" s="54"/>
      <c r="O645" s="54"/>
      <c r="P645" s="54"/>
      <c r="Q645" s="68">
        <f t="shared" si="264"/>
        <v>0</v>
      </c>
      <c r="R645" s="68"/>
      <c r="S645" s="68"/>
      <c r="T645" s="68"/>
      <c r="U645" s="129"/>
      <c r="V645" s="33">
        <f t="shared" si="265"/>
        <v>2.4</v>
      </c>
      <c r="W645" s="130" t="s">
        <v>2283</v>
      </c>
    </row>
    <row r="646" s="4" customFormat="1" ht="26.25" customHeight="1" spans="1:23">
      <c r="A646" s="117">
        <v>601001</v>
      </c>
      <c r="B646" s="29" t="s">
        <v>2068</v>
      </c>
      <c r="C646" s="118" t="s">
        <v>2280</v>
      </c>
      <c r="D646" s="120" t="s">
        <v>2083</v>
      </c>
      <c r="E646" s="37" t="s">
        <v>3395</v>
      </c>
      <c r="F646" s="32" t="s">
        <v>3396</v>
      </c>
      <c r="G646" s="33">
        <f t="shared" si="262"/>
        <v>9.69</v>
      </c>
      <c r="H646" s="33">
        <v>9.69</v>
      </c>
      <c r="I646" s="33"/>
      <c r="J646" s="33"/>
      <c r="K646" s="33"/>
      <c r="L646" s="33"/>
      <c r="M646" s="54">
        <f t="shared" si="263"/>
        <v>0</v>
      </c>
      <c r="N646" s="54"/>
      <c r="O646" s="54"/>
      <c r="P646" s="54"/>
      <c r="Q646" s="68">
        <f t="shared" si="264"/>
        <v>0</v>
      </c>
      <c r="R646" s="68"/>
      <c r="S646" s="68"/>
      <c r="T646" s="68"/>
      <c r="U646" s="129"/>
      <c r="V646" s="70">
        <f t="shared" si="265"/>
        <v>9.69</v>
      </c>
      <c r="W646" s="130" t="s">
        <v>2283</v>
      </c>
    </row>
    <row r="647" s="4" customFormat="1" ht="26.25" customHeight="1" spans="1:23">
      <c r="A647" s="117">
        <v>601001</v>
      </c>
      <c r="B647" s="29" t="s">
        <v>2068</v>
      </c>
      <c r="C647" s="118" t="s">
        <v>2280</v>
      </c>
      <c r="D647" s="119" t="s">
        <v>2083</v>
      </c>
      <c r="E647" s="30" t="s">
        <v>3397</v>
      </c>
      <c r="F647" s="32" t="s">
        <v>2305</v>
      </c>
      <c r="G647" s="33">
        <f t="shared" si="262"/>
        <v>26</v>
      </c>
      <c r="H647" s="33">
        <v>26</v>
      </c>
      <c r="I647" s="33"/>
      <c r="J647" s="33"/>
      <c r="K647" s="33"/>
      <c r="L647" s="33"/>
      <c r="M647" s="54">
        <f t="shared" si="263"/>
        <v>0</v>
      </c>
      <c r="N647" s="54"/>
      <c r="O647" s="54"/>
      <c r="P647" s="54"/>
      <c r="Q647" s="68">
        <f t="shared" si="264"/>
        <v>0</v>
      </c>
      <c r="R647" s="68"/>
      <c r="S647" s="68"/>
      <c r="T647" s="68"/>
      <c r="U647" s="129"/>
      <c r="V647" s="33">
        <f t="shared" si="265"/>
        <v>26</v>
      </c>
      <c r="W647" s="130" t="s">
        <v>2283</v>
      </c>
    </row>
    <row r="648" s="4" customFormat="1" ht="26.25" customHeight="1" spans="1:23">
      <c r="A648" s="117">
        <v>601001</v>
      </c>
      <c r="B648" s="29" t="s">
        <v>2068</v>
      </c>
      <c r="C648" s="118" t="s">
        <v>2280</v>
      </c>
      <c r="D648" s="120" t="s">
        <v>2083</v>
      </c>
      <c r="E648" s="37" t="s">
        <v>3398</v>
      </c>
      <c r="F648" s="32" t="s">
        <v>3399</v>
      </c>
      <c r="G648" s="33">
        <f t="shared" si="262"/>
        <v>90</v>
      </c>
      <c r="H648" s="33">
        <v>90</v>
      </c>
      <c r="I648" s="33"/>
      <c r="J648" s="33"/>
      <c r="K648" s="33"/>
      <c r="L648" s="33"/>
      <c r="M648" s="54">
        <f t="shared" si="263"/>
        <v>0</v>
      </c>
      <c r="N648" s="54"/>
      <c r="O648" s="54"/>
      <c r="P648" s="54"/>
      <c r="Q648" s="68">
        <f t="shared" si="264"/>
        <v>0</v>
      </c>
      <c r="R648" s="68"/>
      <c r="S648" s="68"/>
      <c r="T648" s="68"/>
      <c r="U648" s="129"/>
      <c r="V648" s="70">
        <f t="shared" si="265"/>
        <v>90</v>
      </c>
      <c r="W648" s="130" t="s">
        <v>2283</v>
      </c>
    </row>
    <row r="649" s="4" customFormat="1" ht="26.25" customHeight="1" spans="1:23">
      <c r="A649" s="117">
        <v>601001</v>
      </c>
      <c r="B649" s="29" t="s">
        <v>2068</v>
      </c>
      <c r="C649" s="118" t="s">
        <v>2280</v>
      </c>
      <c r="D649" s="119" t="s">
        <v>2083</v>
      </c>
      <c r="E649" s="30" t="s">
        <v>3400</v>
      </c>
      <c r="F649" s="32" t="s">
        <v>933</v>
      </c>
      <c r="G649" s="33">
        <f t="shared" si="262"/>
        <v>6</v>
      </c>
      <c r="H649" s="33">
        <v>6</v>
      </c>
      <c r="I649" s="33"/>
      <c r="J649" s="33"/>
      <c r="K649" s="33"/>
      <c r="L649" s="33"/>
      <c r="M649" s="54">
        <f t="shared" si="263"/>
        <v>0</v>
      </c>
      <c r="N649" s="54"/>
      <c r="O649" s="54"/>
      <c r="P649" s="54"/>
      <c r="Q649" s="68">
        <f t="shared" si="264"/>
        <v>0</v>
      </c>
      <c r="R649" s="68"/>
      <c r="S649" s="68"/>
      <c r="T649" s="68"/>
      <c r="U649" s="129"/>
      <c r="V649" s="33">
        <f t="shared" si="265"/>
        <v>6</v>
      </c>
      <c r="W649" s="130" t="s">
        <v>2283</v>
      </c>
    </row>
    <row r="650" s="4" customFormat="1" ht="26.25" customHeight="1" spans="1:23">
      <c r="A650" s="117">
        <v>601001</v>
      </c>
      <c r="B650" s="29" t="s">
        <v>2068</v>
      </c>
      <c r="C650" s="118" t="s">
        <v>2280</v>
      </c>
      <c r="D650" s="29" t="s">
        <v>2083</v>
      </c>
      <c r="E650" s="121" t="s">
        <v>3401</v>
      </c>
      <c r="F650" s="35" t="s">
        <v>896</v>
      </c>
      <c r="G650" s="33">
        <f t="shared" si="262"/>
        <v>0</v>
      </c>
      <c r="H650" s="33"/>
      <c r="I650" s="33"/>
      <c r="J650" s="33"/>
      <c r="K650" s="144"/>
      <c r="L650" s="145">
        <v>18</v>
      </c>
      <c r="M650" s="54">
        <f t="shared" si="263"/>
        <v>0</v>
      </c>
      <c r="N650" s="54"/>
      <c r="O650" s="54"/>
      <c r="P650" s="54"/>
      <c r="Q650" s="68">
        <f t="shared" si="264"/>
        <v>0</v>
      </c>
      <c r="R650" s="68"/>
      <c r="S650" s="68"/>
      <c r="T650" s="68"/>
      <c r="U650" s="129"/>
      <c r="V650" s="33">
        <f t="shared" si="265"/>
        <v>18</v>
      </c>
      <c r="W650" s="130" t="s">
        <v>2283</v>
      </c>
    </row>
    <row r="651" s="4" customFormat="1" ht="26.25" customHeight="1" spans="1:23">
      <c r="A651" s="117">
        <v>601001</v>
      </c>
      <c r="B651" s="29" t="s">
        <v>2068</v>
      </c>
      <c r="C651" s="118" t="s">
        <v>2307</v>
      </c>
      <c r="D651" s="119" t="s">
        <v>2308</v>
      </c>
      <c r="E651" s="30" t="s">
        <v>3402</v>
      </c>
      <c r="F651" s="32" t="s">
        <v>1037</v>
      </c>
      <c r="G651" s="33">
        <f t="shared" si="262"/>
        <v>5</v>
      </c>
      <c r="H651" s="33">
        <v>5</v>
      </c>
      <c r="I651" s="33"/>
      <c r="J651" s="33"/>
      <c r="K651" s="33"/>
      <c r="L651" s="33"/>
      <c r="M651" s="54">
        <f t="shared" si="263"/>
        <v>0</v>
      </c>
      <c r="N651" s="54"/>
      <c r="O651" s="54"/>
      <c r="P651" s="54"/>
      <c r="Q651" s="68">
        <f t="shared" si="264"/>
        <v>0</v>
      </c>
      <c r="R651" s="68"/>
      <c r="S651" s="68"/>
      <c r="T651" s="68"/>
      <c r="U651" s="129"/>
      <c r="V651" s="33">
        <f t="shared" si="265"/>
        <v>5</v>
      </c>
      <c r="W651" s="130" t="s">
        <v>2283</v>
      </c>
    </row>
    <row r="652" s="4" customFormat="1" ht="26.25" customHeight="1" spans="1:23">
      <c r="A652" s="117">
        <v>601001</v>
      </c>
      <c r="B652" s="29" t="s">
        <v>2068</v>
      </c>
      <c r="C652" s="118" t="s">
        <v>3112</v>
      </c>
      <c r="D652" s="120" t="s">
        <v>3113</v>
      </c>
      <c r="E652" s="37" t="s">
        <v>3403</v>
      </c>
      <c r="F652" s="32" t="s">
        <v>3404</v>
      </c>
      <c r="G652" s="33">
        <f t="shared" si="262"/>
        <v>15.65</v>
      </c>
      <c r="H652" s="33">
        <v>15.65</v>
      </c>
      <c r="I652" s="33"/>
      <c r="J652" s="33"/>
      <c r="K652" s="33"/>
      <c r="L652" s="33"/>
      <c r="M652" s="54">
        <f t="shared" si="263"/>
        <v>0</v>
      </c>
      <c r="N652" s="54"/>
      <c r="O652" s="54"/>
      <c r="P652" s="54"/>
      <c r="Q652" s="68">
        <f t="shared" si="264"/>
        <v>0</v>
      </c>
      <c r="R652" s="68"/>
      <c r="S652" s="68"/>
      <c r="T652" s="68"/>
      <c r="U652" s="129"/>
      <c r="V652" s="70">
        <f t="shared" si="265"/>
        <v>15.65</v>
      </c>
      <c r="W652" s="130" t="s">
        <v>2283</v>
      </c>
    </row>
    <row r="653" s="4" customFormat="1" ht="26.25" customHeight="1" spans="1:23">
      <c r="A653" s="117">
        <v>601001</v>
      </c>
      <c r="B653" s="29" t="s">
        <v>2068</v>
      </c>
      <c r="C653" s="118" t="s">
        <v>3405</v>
      </c>
      <c r="D653" s="86" t="s">
        <v>3406</v>
      </c>
      <c r="E653" s="127" t="s">
        <v>3407</v>
      </c>
      <c r="F653" s="38" t="s">
        <v>3408</v>
      </c>
      <c r="G653" s="33">
        <f t="shared" si="262"/>
        <v>0</v>
      </c>
      <c r="H653" s="33"/>
      <c r="I653" s="33"/>
      <c r="J653" s="33"/>
      <c r="K653" s="33"/>
      <c r="L653" s="33"/>
      <c r="M653" s="54">
        <f t="shared" si="263"/>
        <v>0</v>
      </c>
      <c r="N653" s="54"/>
      <c r="O653" s="54"/>
      <c r="P653" s="54"/>
      <c r="Q653" s="68">
        <f t="shared" si="264"/>
        <v>1.64</v>
      </c>
      <c r="R653" s="68">
        <v>1.64</v>
      </c>
      <c r="S653" s="68"/>
      <c r="T653" s="68"/>
      <c r="U653" s="129"/>
      <c r="V653" s="68">
        <f t="shared" si="265"/>
        <v>1.64</v>
      </c>
      <c r="W653" s="91" t="s">
        <v>2498</v>
      </c>
    </row>
    <row r="654" s="4" customFormat="1" ht="26.25" customHeight="1" spans="1:23">
      <c r="A654" s="117">
        <v>601001</v>
      </c>
      <c r="B654" s="29" t="s">
        <v>2068</v>
      </c>
      <c r="C654" s="118" t="s">
        <v>3405</v>
      </c>
      <c r="D654" s="86" t="s">
        <v>3406</v>
      </c>
      <c r="E654" s="127" t="s">
        <v>3407</v>
      </c>
      <c r="F654" s="38" t="s">
        <v>3408</v>
      </c>
      <c r="G654" s="33">
        <f t="shared" si="262"/>
        <v>0</v>
      </c>
      <c r="H654" s="33"/>
      <c r="I654" s="33"/>
      <c r="J654" s="33"/>
      <c r="K654" s="33"/>
      <c r="L654" s="33"/>
      <c r="M654" s="54">
        <f t="shared" si="263"/>
        <v>0</v>
      </c>
      <c r="N654" s="54"/>
      <c r="O654" s="54"/>
      <c r="P654" s="54"/>
      <c r="Q654" s="68">
        <f t="shared" si="264"/>
        <v>5.21838</v>
      </c>
      <c r="R654" s="68"/>
      <c r="S654" s="68">
        <v>5.21838</v>
      </c>
      <c r="T654" s="68"/>
      <c r="U654" s="129"/>
      <c r="V654" s="68">
        <f t="shared" si="265"/>
        <v>5.21838</v>
      </c>
      <c r="W654" s="131" t="s">
        <v>3409</v>
      </c>
    </row>
    <row r="655" s="4" customFormat="1" ht="26.25" customHeight="1" spans="1:23">
      <c r="A655" s="117">
        <v>601001</v>
      </c>
      <c r="B655" s="29" t="s">
        <v>2068</v>
      </c>
      <c r="C655" s="118" t="s">
        <v>3405</v>
      </c>
      <c r="D655" s="120" t="s">
        <v>3406</v>
      </c>
      <c r="E655" s="37" t="s">
        <v>3410</v>
      </c>
      <c r="F655" s="32" t="s">
        <v>3408</v>
      </c>
      <c r="G655" s="33">
        <f t="shared" si="262"/>
        <v>5</v>
      </c>
      <c r="H655" s="33">
        <v>5</v>
      </c>
      <c r="I655" s="33"/>
      <c r="J655" s="33"/>
      <c r="K655" s="33"/>
      <c r="L655" s="33"/>
      <c r="M655" s="54">
        <f t="shared" si="263"/>
        <v>0</v>
      </c>
      <c r="N655" s="54"/>
      <c r="O655" s="54"/>
      <c r="P655" s="54"/>
      <c r="Q655" s="68">
        <f t="shared" si="264"/>
        <v>0</v>
      </c>
      <c r="R655" s="68"/>
      <c r="S655" s="68"/>
      <c r="T655" s="68"/>
      <c r="U655" s="129"/>
      <c r="V655" s="70">
        <f t="shared" si="265"/>
        <v>5</v>
      </c>
      <c r="W655" s="130" t="s">
        <v>2283</v>
      </c>
    </row>
    <row r="656" s="4" customFormat="1" ht="26.25" customHeight="1" spans="1:23">
      <c r="A656" s="117">
        <v>601001</v>
      </c>
      <c r="B656" s="29" t="s">
        <v>2068</v>
      </c>
      <c r="C656" s="118" t="s">
        <v>3405</v>
      </c>
      <c r="D656" s="82" t="s">
        <v>3406</v>
      </c>
      <c r="E656" s="37" t="s">
        <v>3411</v>
      </c>
      <c r="F656" s="32" t="s">
        <v>3412</v>
      </c>
      <c r="G656" s="33">
        <f t="shared" si="262"/>
        <v>9</v>
      </c>
      <c r="H656" s="33"/>
      <c r="I656" s="33"/>
      <c r="J656" s="33">
        <v>9</v>
      </c>
      <c r="K656" s="33"/>
      <c r="L656" s="33"/>
      <c r="M656" s="54">
        <f t="shared" si="263"/>
        <v>0</v>
      </c>
      <c r="N656" s="54">
        <v>-9</v>
      </c>
      <c r="O656" s="54">
        <v>9</v>
      </c>
      <c r="P656" s="54"/>
      <c r="Q656" s="68">
        <f t="shared" si="264"/>
        <v>0</v>
      </c>
      <c r="R656" s="68"/>
      <c r="S656" s="68"/>
      <c r="T656" s="68"/>
      <c r="U656" s="129"/>
      <c r="V656" s="54">
        <f t="shared" si="265"/>
        <v>9</v>
      </c>
      <c r="W656" s="92" t="s">
        <v>653</v>
      </c>
    </row>
    <row r="657" s="4" customFormat="1" ht="26.25" customHeight="1" spans="1:23">
      <c r="A657" s="117">
        <v>601001</v>
      </c>
      <c r="B657" s="29" t="s">
        <v>2068</v>
      </c>
      <c r="C657" s="118" t="s">
        <v>2746</v>
      </c>
      <c r="D657" s="86" t="s">
        <v>2747</v>
      </c>
      <c r="E657" s="127" t="s">
        <v>3413</v>
      </c>
      <c r="F657" s="38" t="s">
        <v>3414</v>
      </c>
      <c r="G657" s="33">
        <f t="shared" si="262"/>
        <v>0</v>
      </c>
      <c r="H657" s="33"/>
      <c r="I657" s="33"/>
      <c r="J657" s="33"/>
      <c r="K657" s="33"/>
      <c r="L657" s="33"/>
      <c r="M657" s="54">
        <f t="shared" si="263"/>
        <v>0</v>
      </c>
      <c r="N657" s="54"/>
      <c r="O657" s="54"/>
      <c r="P657" s="54"/>
      <c r="Q657" s="68">
        <f t="shared" si="264"/>
        <v>15</v>
      </c>
      <c r="R657" s="68"/>
      <c r="S657" s="68">
        <v>15</v>
      </c>
      <c r="T657" s="68"/>
      <c r="U657" s="129"/>
      <c r="V657" s="68">
        <f t="shared" si="265"/>
        <v>15</v>
      </c>
      <c r="W657" s="91" t="s">
        <v>3415</v>
      </c>
    </row>
    <row r="658" s="4" customFormat="1" ht="26.25" customHeight="1" spans="1:23">
      <c r="A658" s="117">
        <v>601001</v>
      </c>
      <c r="B658" s="29" t="s">
        <v>2068</v>
      </c>
      <c r="C658" s="118" t="s">
        <v>2746</v>
      </c>
      <c r="D658" s="82" t="s">
        <v>2747</v>
      </c>
      <c r="E658" s="136" t="s">
        <v>3416</v>
      </c>
      <c r="F658" s="49" t="s">
        <v>1084</v>
      </c>
      <c r="G658" s="33">
        <f t="shared" si="262"/>
        <v>0</v>
      </c>
      <c r="H658" s="33"/>
      <c r="I658" s="33"/>
      <c r="J658" s="33"/>
      <c r="K658" s="33"/>
      <c r="L658" s="33"/>
      <c r="M658" s="54">
        <f t="shared" si="263"/>
        <v>15</v>
      </c>
      <c r="N658" s="54"/>
      <c r="O658" s="54">
        <v>15</v>
      </c>
      <c r="P658" s="54"/>
      <c r="Q658" s="68">
        <f t="shared" si="264"/>
        <v>0</v>
      </c>
      <c r="R658" s="68"/>
      <c r="S658" s="68"/>
      <c r="T658" s="68"/>
      <c r="U658" s="129"/>
      <c r="V658" s="54">
        <f t="shared" si="265"/>
        <v>15</v>
      </c>
      <c r="W658" s="74" t="s">
        <v>637</v>
      </c>
    </row>
    <row r="659" s="4" customFormat="1" ht="26.25" customHeight="1" spans="1:23">
      <c r="A659" s="117">
        <v>601001</v>
      </c>
      <c r="B659" s="29" t="s">
        <v>2068</v>
      </c>
      <c r="C659" s="118" t="s">
        <v>2746</v>
      </c>
      <c r="D659" s="119" t="s">
        <v>2747</v>
      </c>
      <c r="E659" s="37" t="s">
        <v>3416</v>
      </c>
      <c r="F659" s="32" t="s">
        <v>1084</v>
      </c>
      <c r="G659" s="33">
        <f t="shared" si="262"/>
        <v>5</v>
      </c>
      <c r="H659" s="33">
        <v>5</v>
      </c>
      <c r="I659" s="33"/>
      <c r="J659" s="33"/>
      <c r="K659" s="33"/>
      <c r="L659" s="33"/>
      <c r="M659" s="54">
        <f t="shared" si="263"/>
        <v>0</v>
      </c>
      <c r="N659" s="54"/>
      <c r="O659" s="54"/>
      <c r="P659" s="54"/>
      <c r="Q659" s="68">
        <f t="shared" si="264"/>
        <v>0</v>
      </c>
      <c r="R659" s="68"/>
      <c r="S659" s="68"/>
      <c r="T659" s="68"/>
      <c r="U659" s="129"/>
      <c r="V659" s="33">
        <f t="shared" si="265"/>
        <v>5</v>
      </c>
      <c r="W659" s="130" t="s">
        <v>2283</v>
      </c>
    </row>
    <row r="660" s="4" customFormat="1" ht="26.25" customHeight="1" spans="1:23">
      <c r="A660" s="117">
        <v>601001</v>
      </c>
      <c r="B660" s="29" t="s">
        <v>2068</v>
      </c>
      <c r="C660" s="118" t="s">
        <v>2746</v>
      </c>
      <c r="D660" s="120" t="s">
        <v>2747</v>
      </c>
      <c r="E660" s="37" t="s">
        <v>3417</v>
      </c>
      <c r="F660" s="32" t="s">
        <v>3418</v>
      </c>
      <c r="G660" s="33">
        <f t="shared" si="262"/>
        <v>25.7</v>
      </c>
      <c r="H660" s="33">
        <v>25.7</v>
      </c>
      <c r="I660" s="33"/>
      <c r="J660" s="33"/>
      <c r="K660" s="33"/>
      <c r="L660" s="33"/>
      <c r="M660" s="54">
        <f t="shared" si="263"/>
        <v>0</v>
      </c>
      <c r="N660" s="54"/>
      <c r="O660" s="54"/>
      <c r="P660" s="54"/>
      <c r="Q660" s="68">
        <f t="shared" si="264"/>
        <v>0</v>
      </c>
      <c r="R660" s="68"/>
      <c r="S660" s="68"/>
      <c r="T660" s="68"/>
      <c r="U660" s="129"/>
      <c r="V660" s="70">
        <f t="shared" si="265"/>
        <v>25.7</v>
      </c>
      <c r="W660" s="130" t="s">
        <v>2283</v>
      </c>
    </row>
    <row r="661" s="4" customFormat="1" ht="26.25" customHeight="1" spans="1:23">
      <c r="A661" s="117">
        <v>601001</v>
      </c>
      <c r="B661" s="29" t="s">
        <v>2068</v>
      </c>
      <c r="C661" s="35" t="s">
        <v>2921</v>
      </c>
      <c r="D661" s="76" t="s">
        <v>2922</v>
      </c>
      <c r="E661" s="127" t="s">
        <v>3419</v>
      </c>
      <c r="F661" s="35" t="s">
        <v>1106</v>
      </c>
      <c r="G661" s="33">
        <f t="shared" si="262"/>
        <v>0</v>
      </c>
      <c r="H661" s="33"/>
      <c r="I661" s="33"/>
      <c r="J661" s="33"/>
      <c r="K661" s="33"/>
      <c r="L661" s="33"/>
      <c r="M661" s="54">
        <f t="shared" si="263"/>
        <v>50</v>
      </c>
      <c r="N661" s="54"/>
      <c r="O661" s="54">
        <v>50</v>
      </c>
      <c r="P661" s="54"/>
      <c r="Q661" s="68">
        <f t="shared" si="264"/>
        <v>0</v>
      </c>
      <c r="R661" s="68"/>
      <c r="S661" s="68"/>
      <c r="T661" s="68"/>
      <c r="U661" s="129"/>
      <c r="V661" s="54">
        <f t="shared" si="265"/>
        <v>50</v>
      </c>
      <c r="W661" s="92" t="s">
        <v>624</v>
      </c>
    </row>
    <row r="662" s="4" customFormat="1" ht="26.25" customHeight="1" spans="1:23">
      <c r="A662" s="117">
        <v>601001</v>
      </c>
      <c r="B662" s="29" t="s">
        <v>2068</v>
      </c>
      <c r="C662" s="118" t="s">
        <v>3284</v>
      </c>
      <c r="D662" s="120" t="s">
        <v>3285</v>
      </c>
      <c r="E662" s="37" t="s">
        <v>3420</v>
      </c>
      <c r="F662" s="32" t="s">
        <v>1058</v>
      </c>
      <c r="G662" s="33">
        <f t="shared" si="262"/>
        <v>189</v>
      </c>
      <c r="H662" s="33">
        <v>189</v>
      </c>
      <c r="I662" s="33"/>
      <c r="J662" s="33"/>
      <c r="K662" s="33">
        <v>-10.125</v>
      </c>
      <c r="L662" s="33"/>
      <c r="M662" s="54">
        <f t="shared" si="263"/>
        <v>0</v>
      </c>
      <c r="N662" s="54"/>
      <c r="O662" s="54"/>
      <c r="P662" s="54"/>
      <c r="Q662" s="68">
        <f t="shared" si="264"/>
        <v>0</v>
      </c>
      <c r="R662" s="68"/>
      <c r="S662" s="68"/>
      <c r="T662" s="68"/>
      <c r="U662" s="129"/>
      <c r="V662" s="70">
        <f t="shared" si="265"/>
        <v>178.875</v>
      </c>
      <c r="W662" s="130" t="s">
        <v>2283</v>
      </c>
    </row>
    <row r="663" s="4" customFormat="1" ht="26.25" customHeight="1" spans="1:23">
      <c r="A663" s="117">
        <v>601001</v>
      </c>
      <c r="B663" s="29" t="s">
        <v>2068</v>
      </c>
      <c r="C663" s="118" t="s">
        <v>3296</v>
      </c>
      <c r="D663" s="119" t="s">
        <v>3294</v>
      </c>
      <c r="E663" s="37" t="s">
        <v>3421</v>
      </c>
      <c r="F663" s="32" t="s">
        <v>3294</v>
      </c>
      <c r="G663" s="33">
        <f t="shared" si="262"/>
        <v>116.2</v>
      </c>
      <c r="H663" s="33">
        <v>116.2</v>
      </c>
      <c r="I663" s="33"/>
      <c r="J663" s="33"/>
      <c r="K663" s="33"/>
      <c r="L663" s="33"/>
      <c r="M663" s="54">
        <f t="shared" si="263"/>
        <v>0</v>
      </c>
      <c r="N663" s="54"/>
      <c r="O663" s="54"/>
      <c r="P663" s="54"/>
      <c r="Q663" s="68">
        <f t="shared" si="264"/>
        <v>0</v>
      </c>
      <c r="R663" s="68"/>
      <c r="S663" s="68"/>
      <c r="T663" s="68"/>
      <c r="U663" s="129"/>
      <c r="V663" s="33">
        <f t="shared" si="265"/>
        <v>116.2</v>
      </c>
      <c r="W663" s="130" t="s">
        <v>2283</v>
      </c>
    </row>
    <row r="664" s="4" customFormat="1" ht="26.25" customHeight="1" spans="1:23">
      <c r="A664" s="117">
        <v>601001</v>
      </c>
      <c r="B664" s="29" t="s">
        <v>2068</v>
      </c>
      <c r="C664" s="118" t="s">
        <v>2617</v>
      </c>
      <c r="D664" s="120" t="s">
        <v>2618</v>
      </c>
      <c r="E664" s="37" t="s">
        <v>3422</v>
      </c>
      <c r="F664" s="32" t="s">
        <v>3423</v>
      </c>
      <c r="G664" s="33">
        <f t="shared" si="262"/>
        <v>117.34</v>
      </c>
      <c r="H664" s="33">
        <v>117.34</v>
      </c>
      <c r="I664" s="33"/>
      <c r="J664" s="33"/>
      <c r="K664" s="33"/>
      <c r="L664" s="33"/>
      <c r="M664" s="54">
        <f t="shared" si="263"/>
        <v>0</v>
      </c>
      <c r="N664" s="54"/>
      <c r="O664" s="54"/>
      <c r="P664" s="54"/>
      <c r="Q664" s="68">
        <f t="shared" si="264"/>
        <v>0</v>
      </c>
      <c r="R664" s="68"/>
      <c r="S664" s="68"/>
      <c r="T664" s="68"/>
      <c r="U664" s="129"/>
      <c r="V664" s="70">
        <f t="shared" si="265"/>
        <v>117.34</v>
      </c>
      <c r="W664" s="130" t="s">
        <v>2283</v>
      </c>
    </row>
    <row r="665" s="4" customFormat="1" ht="26.25" customHeight="1" spans="1:23">
      <c r="A665" s="117">
        <v>601001</v>
      </c>
      <c r="B665" s="29" t="s">
        <v>2068</v>
      </c>
      <c r="C665" s="118" t="s">
        <v>2661</v>
      </c>
      <c r="D665" s="120" t="s">
        <v>2662</v>
      </c>
      <c r="E665" s="37" t="s">
        <v>3424</v>
      </c>
      <c r="F665" s="32" t="s">
        <v>3425</v>
      </c>
      <c r="G665" s="33">
        <f t="shared" si="262"/>
        <v>6</v>
      </c>
      <c r="H665" s="33">
        <v>6</v>
      </c>
      <c r="I665" s="33"/>
      <c r="J665" s="33"/>
      <c r="K665" s="33"/>
      <c r="L665" s="33"/>
      <c r="M665" s="54">
        <f t="shared" si="263"/>
        <v>0</v>
      </c>
      <c r="N665" s="54"/>
      <c r="O665" s="54"/>
      <c r="P665" s="54"/>
      <c r="Q665" s="68">
        <f t="shared" si="264"/>
        <v>0</v>
      </c>
      <c r="R665" s="68"/>
      <c r="S665" s="68"/>
      <c r="T665" s="68"/>
      <c r="U665" s="129"/>
      <c r="V665" s="70">
        <f t="shared" si="265"/>
        <v>6</v>
      </c>
      <c r="W665" s="130" t="s">
        <v>2283</v>
      </c>
    </row>
    <row r="666" s="4" customFormat="1" ht="26.25" customHeight="1" spans="1:23">
      <c r="A666" s="117">
        <v>601001</v>
      </c>
      <c r="B666" s="29" t="s">
        <v>2068</v>
      </c>
      <c r="C666" s="35" t="s">
        <v>3236</v>
      </c>
      <c r="D666" s="40" t="s">
        <v>3237</v>
      </c>
      <c r="E666" s="127" t="s">
        <v>3426</v>
      </c>
      <c r="F666" s="35" t="s">
        <v>3427</v>
      </c>
      <c r="G666" s="33">
        <f t="shared" si="262"/>
        <v>0</v>
      </c>
      <c r="H666" s="33"/>
      <c r="I666" s="33"/>
      <c r="J666" s="33"/>
      <c r="K666" s="55">
        <v>7</v>
      </c>
      <c r="L666" s="33"/>
      <c r="M666" s="54">
        <f t="shared" si="263"/>
        <v>0</v>
      </c>
      <c r="N666" s="54"/>
      <c r="O666" s="54"/>
      <c r="P666" s="54"/>
      <c r="Q666" s="68">
        <f t="shared" si="264"/>
        <v>0</v>
      </c>
      <c r="R666" s="68"/>
      <c r="S666" s="68"/>
      <c r="T666" s="68"/>
      <c r="U666" s="129"/>
      <c r="V666" s="33">
        <f t="shared" si="265"/>
        <v>7</v>
      </c>
      <c r="W666" s="130" t="s">
        <v>2283</v>
      </c>
    </row>
    <row r="667" s="4" customFormat="1" ht="26.25" customHeight="1" spans="1:23">
      <c r="A667" s="117">
        <v>601001</v>
      </c>
      <c r="B667" s="29" t="s">
        <v>2068</v>
      </c>
      <c r="C667" s="35" t="s">
        <v>3236</v>
      </c>
      <c r="D667" s="38" t="s">
        <v>3237</v>
      </c>
      <c r="E667" s="127" t="s">
        <v>3426</v>
      </c>
      <c r="F667" s="38" t="s">
        <v>3427</v>
      </c>
      <c r="G667" s="33">
        <f t="shared" si="262"/>
        <v>0</v>
      </c>
      <c r="H667" s="33"/>
      <c r="I667" s="33"/>
      <c r="J667" s="33"/>
      <c r="K667" s="33"/>
      <c r="L667" s="33"/>
      <c r="M667" s="54">
        <f t="shared" si="263"/>
        <v>0</v>
      </c>
      <c r="N667" s="54"/>
      <c r="O667" s="54"/>
      <c r="P667" s="54"/>
      <c r="Q667" s="68">
        <f t="shared" si="264"/>
        <v>39</v>
      </c>
      <c r="R667" s="68"/>
      <c r="S667" s="68">
        <v>39</v>
      </c>
      <c r="T667" s="68"/>
      <c r="U667" s="129"/>
      <c r="V667" s="68">
        <f t="shared" si="265"/>
        <v>39</v>
      </c>
      <c r="W667" s="91" t="s">
        <v>3428</v>
      </c>
    </row>
    <row r="668" s="4" customFormat="1" ht="26.25" customHeight="1" spans="1:23">
      <c r="A668" s="117">
        <v>601001</v>
      </c>
      <c r="B668" s="29" t="s">
        <v>2068</v>
      </c>
      <c r="C668" s="35" t="s">
        <v>3429</v>
      </c>
      <c r="D668" s="76" t="s">
        <v>3430</v>
      </c>
      <c r="E668" s="127" t="s">
        <v>3426</v>
      </c>
      <c r="F668" s="35" t="s">
        <v>3427</v>
      </c>
      <c r="G668" s="33">
        <f t="shared" si="262"/>
        <v>0</v>
      </c>
      <c r="H668" s="33"/>
      <c r="I668" s="33"/>
      <c r="J668" s="33"/>
      <c r="K668" s="33"/>
      <c r="L668" s="33"/>
      <c r="M668" s="54">
        <f t="shared" si="263"/>
        <v>17</v>
      </c>
      <c r="N668" s="54"/>
      <c r="O668" s="54">
        <v>17</v>
      </c>
      <c r="P668" s="54"/>
      <c r="Q668" s="68">
        <f t="shared" si="264"/>
        <v>0</v>
      </c>
      <c r="R668" s="68"/>
      <c r="S668" s="68"/>
      <c r="T668" s="68"/>
      <c r="U668" s="129"/>
      <c r="V668" s="54">
        <f t="shared" si="265"/>
        <v>17</v>
      </c>
      <c r="W668" s="92" t="s">
        <v>526</v>
      </c>
    </row>
    <row r="669" s="4" customFormat="1" ht="26.25" customHeight="1" spans="1:23">
      <c r="A669" s="117">
        <v>601001</v>
      </c>
      <c r="B669" s="29" t="s">
        <v>2068</v>
      </c>
      <c r="C669" s="118" t="s">
        <v>2342</v>
      </c>
      <c r="D669" s="86" t="s">
        <v>2343</v>
      </c>
      <c r="E669" s="127" t="s">
        <v>3431</v>
      </c>
      <c r="F669" s="38" t="s">
        <v>3432</v>
      </c>
      <c r="G669" s="33">
        <f t="shared" si="262"/>
        <v>0</v>
      </c>
      <c r="H669" s="33"/>
      <c r="I669" s="33"/>
      <c r="J669" s="33"/>
      <c r="K669" s="33"/>
      <c r="L669" s="33"/>
      <c r="M669" s="54">
        <f t="shared" si="263"/>
        <v>0</v>
      </c>
      <c r="N669" s="54"/>
      <c r="O669" s="54"/>
      <c r="P669" s="54"/>
      <c r="Q669" s="68">
        <f t="shared" si="264"/>
        <v>257.41</v>
      </c>
      <c r="R669" s="68">
        <v>257.41</v>
      </c>
      <c r="S669" s="68"/>
      <c r="T669" s="68"/>
      <c r="U669" s="129"/>
      <c r="V669" s="68">
        <f t="shared" si="265"/>
        <v>257.41</v>
      </c>
      <c r="W669" s="91" t="s">
        <v>2498</v>
      </c>
    </row>
    <row r="670" s="4" customFormat="1" ht="26.25" customHeight="1" spans="1:23">
      <c r="A670" s="117">
        <v>601001</v>
      </c>
      <c r="B670" s="29" t="s">
        <v>2068</v>
      </c>
      <c r="C670" s="118" t="s">
        <v>2342</v>
      </c>
      <c r="D670" s="120" t="s">
        <v>2343</v>
      </c>
      <c r="E670" s="37" t="s">
        <v>3433</v>
      </c>
      <c r="F670" s="48" t="s">
        <v>3434</v>
      </c>
      <c r="G670" s="33">
        <f t="shared" si="262"/>
        <v>48</v>
      </c>
      <c r="H670" s="33">
        <v>48</v>
      </c>
      <c r="I670" s="33"/>
      <c r="J670" s="33"/>
      <c r="K670" s="33"/>
      <c r="L670" s="33"/>
      <c r="M670" s="54">
        <f t="shared" si="263"/>
        <v>0</v>
      </c>
      <c r="N670" s="54"/>
      <c r="O670" s="54"/>
      <c r="P670" s="54"/>
      <c r="Q670" s="68">
        <f t="shared" si="264"/>
        <v>0</v>
      </c>
      <c r="R670" s="68"/>
      <c r="S670" s="68"/>
      <c r="T670" s="68"/>
      <c r="U670" s="129"/>
      <c r="V670" s="70">
        <f t="shared" si="265"/>
        <v>48</v>
      </c>
      <c r="W670" s="130" t="s">
        <v>2283</v>
      </c>
    </row>
    <row r="671" s="4" customFormat="1" ht="26.25" customHeight="1" spans="1:23">
      <c r="A671" s="117">
        <v>601001</v>
      </c>
      <c r="B671" s="29" t="s">
        <v>2068</v>
      </c>
      <c r="C671" s="118" t="s">
        <v>2342</v>
      </c>
      <c r="D671" s="120" t="s">
        <v>2343</v>
      </c>
      <c r="E671" s="37" t="s">
        <v>3435</v>
      </c>
      <c r="F671" s="48" t="s">
        <v>3436</v>
      </c>
      <c r="G671" s="33">
        <f t="shared" si="262"/>
        <v>179.59</v>
      </c>
      <c r="H671" s="33">
        <v>179.59</v>
      </c>
      <c r="I671" s="33"/>
      <c r="J671" s="33"/>
      <c r="K671" s="33"/>
      <c r="L671" s="33"/>
      <c r="M671" s="54">
        <f t="shared" si="263"/>
        <v>0</v>
      </c>
      <c r="N671" s="54"/>
      <c r="O671" s="54"/>
      <c r="P671" s="54"/>
      <c r="Q671" s="68">
        <f t="shared" si="264"/>
        <v>0</v>
      </c>
      <c r="R671" s="68"/>
      <c r="S671" s="68"/>
      <c r="T671" s="68"/>
      <c r="U671" s="129"/>
      <c r="V671" s="70">
        <f t="shared" si="265"/>
        <v>179.59</v>
      </c>
      <c r="W671" s="130" t="s">
        <v>2283</v>
      </c>
    </row>
    <row r="672" s="4" customFormat="1" ht="26.25" customHeight="1" spans="1:23">
      <c r="A672" s="117">
        <v>601001</v>
      </c>
      <c r="B672" s="29" t="s">
        <v>2068</v>
      </c>
      <c r="C672" s="118" t="s">
        <v>2342</v>
      </c>
      <c r="D672" s="120" t="s">
        <v>2343</v>
      </c>
      <c r="E672" s="37" t="s">
        <v>3437</v>
      </c>
      <c r="F672" s="48" t="s">
        <v>3438</v>
      </c>
      <c r="G672" s="33">
        <f t="shared" si="262"/>
        <v>336.71</v>
      </c>
      <c r="H672" s="33">
        <v>336.71</v>
      </c>
      <c r="I672" s="33"/>
      <c r="J672" s="33"/>
      <c r="K672" s="33"/>
      <c r="L672" s="33"/>
      <c r="M672" s="54">
        <f t="shared" si="263"/>
        <v>0</v>
      </c>
      <c r="N672" s="54"/>
      <c r="O672" s="54"/>
      <c r="P672" s="54"/>
      <c r="Q672" s="68">
        <f t="shared" si="264"/>
        <v>0</v>
      </c>
      <c r="R672" s="68"/>
      <c r="S672" s="68"/>
      <c r="T672" s="68"/>
      <c r="U672" s="129"/>
      <c r="V672" s="70">
        <f t="shared" si="265"/>
        <v>336.71</v>
      </c>
      <c r="W672" s="130" t="s">
        <v>2283</v>
      </c>
    </row>
    <row r="673" s="4" customFormat="1" ht="26.25" customHeight="1" spans="1:23">
      <c r="A673" s="117">
        <v>601001</v>
      </c>
      <c r="B673" s="29" t="s">
        <v>2068</v>
      </c>
      <c r="C673" s="118" t="s">
        <v>3439</v>
      </c>
      <c r="D673" s="82" t="s">
        <v>3440</v>
      </c>
      <c r="E673" s="37" t="s">
        <v>3441</v>
      </c>
      <c r="F673" s="48" t="s">
        <v>3442</v>
      </c>
      <c r="G673" s="33">
        <f t="shared" si="262"/>
        <v>2.4</v>
      </c>
      <c r="H673" s="33"/>
      <c r="I673" s="33"/>
      <c r="J673" s="33">
        <v>2.4</v>
      </c>
      <c r="K673" s="33"/>
      <c r="L673" s="33"/>
      <c r="M673" s="54">
        <f t="shared" si="263"/>
        <v>-2.4</v>
      </c>
      <c r="N673" s="54">
        <v>-2.4</v>
      </c>
      <c r="O673" s="54"/>
      <c r="P673" s="54"/>
      <c r="Q673" s="68">
        <f t="shared" si="264"/>
        <v>0</v>
      </c>
      <c r="R673" s="68"/>
      <c r="S673" s="68"/>
      <c r="T673" s="68"/>
      <c r="U673" s="129"/>
      <c r="V673" s="54">
        <f t="shared" si="265"/>
        <v>0</v>
      </c>
      <c r="W673" s="92" t="s">
        <v>2283</v>
      </c>
    </row>
    <row r="674" s="4" customFormat="1" ht="26.25" customHeight="1" spans="1:23">
      <c r="A674" s="117">
        <v>601001</v>
      </c>
      <c r="B674" s="29" t="s">
        <v>2068</v>
      </c>
      <c r="C674" s="118" t="s">
        <v>3439</v>
      </c>
      <c r="D674" s="86" t="s">
        <v>3440</v>
      </c>
      <c r="E674" s="127" t="s">
        <v>3441</v>
      </c>
      <c r="F674" s="38" t="s">
        <v>3443</v>
      </c>
      <c r="G674" s="33">
        <f t="shared" si="262"/>
        <v>0</v>
      </c>
      <c r="H674" s="33"/>
      <c r="I674" s="33"/>
      <c r="J674" s="33"/>
      <c r="K674" s="33"/>
      <c r="L674" s="33"/>
      <c r="M674" s="54">
        <f t="shared" si="263"/>
        <v>0</v>
      </c>
      <c r="N674" s="54"/>
      <c r="O674" s="54"/>
      <c r="P674" s="54"/>
      <c r="Q674" s="68">
        <f t="shared" si="264"/>
        <v>2.4</v>
      </c>
      <c r="R674" s="68"/>
      <c r="S674" s="68">
        <v>2.4</v>
      </c>
      <c r="T674" s="68"/>
      <c r="U674" s="129"/>
      <c r="V674" s="68">
        <f t="shared" si="265"/>
        <v>2.4</v>
      </c>
      <c r="W674" s="91" t="s">
        <v>3444</v>
      </c>
    </row>
    <row r="675" s="4" customFormat="1" ht="26.25" customHeight="1" spans="1:23">
      <c r="A675" s="117">
        <v>601001</v>
      </c>
      <c r="B675" s="29" t="s">
        <v>2068</v>
      </c>
      <c r="C675" s="118" t="s">
        <v>3307</v>
      </c>
      <c r="D675" s="120" t="s">
        <v>3308</v>
      </c>
      <c r="E675" s="37" t="s">
        <v>3445</v>
      </c>
      <c r="F675" s="32" t="s">
        <v>3446</v>
      </c>
      <c r="G675" s="33">
        <f t="shared" si="262"/>
        <v>28</v>
      </c>
      <c r="H675" s="33">
        <v>28</v>
      </c>
      <c r="I675" s="33"/>
      <c r="J675" s="33"/>
      <c r="K675" s="33"/>
      <c r="L675" s="33"/>
      <c r="M675" s="54">
        <f t="shared" si="263"/>
        <v>0</v>
      </c>
      <c r="N675" s="54"/>
      <c r="O675" s="54"/>
      <c r="P675" s="54"/>
      <c r="Q675" s="68">
        <f t="shared" si="264"/>
        <v>0</v>
      </c>
      <c r="R675" s="68"/>
      <c r="S675" s="68"/>
      <c r="T675" s="68"/>
      <c r="U675" s="129"/>
      <c r="V675" s="70">
        <f t="shared" si="265"/>
        <v>28</v>
      </c>
      <c r="W675" s="130" t="s">
        <v>2283</v>
      </c>
    </row>
    <row r="676" s="4" customFormat="1" ht="26.25" customHeight="1" spans="1:23">
      <c r="A676" s="117">
        <v>601001</v>
      </c>
      <c r="B676" s="29" t="s">
        <v>2068</v>
      </c>
      <c r="C676" s="35" t="s">
        <v>2412</v>
      </c>
      <c r="D676" s="40" t="s">
        <v>2310</v>
      </c>
      <c r="E676" s="121" t="s">
        <v>3389</v>
      </c>
      <c r="F676" s="35" t="s">
        <v>1080</v>
      </c>
      <c r="G676" s="33">
        <f t="shared" si="262"/>
        <v>0</v>
      </c>
      <c r="H676" s="33"/>
      <c r="I676" s="33"/>
      <c r="J676" s="33"/>
      <c r="K676" s="55">
        <v>50</v>
      </c>
      <c r="L676" s="128">
        <v>150</v>
      </c>
      <c r="M676" s="54">
        <f t="shared" si="263"/>
        <v>0</v>
      </c>
      <c r="N676" s="54"/>
      <c r="O676" s="54"/>
      <c r="P676" s="54"/>
      <c r="Q676" s="68">
        <f t="shared" si="264"/>
        <v>0</v>
      </c>
      <c r="R676" s="68"/>
      <c r="S676" s="68"/>
      <c r="T676" s="68"/>
      <c r="U676" s="129"/>
      <c r="V676" s="33">
        <f t="shared" si="265"/>
        <v>200</v>
      </c>
      <c r="W676" s="130" t="s">
        <v>2283</v>
      </c>
    </row>
    <row r="677" s="4" customFormat="1" ht="26.25" customHeight="1" spans="1:23">
      <c r="A677" s="117">
        <v>601001</v>
      </c>
      <c r="B677" s="29" t="s">
        <v>2068</v>
      </c>
      <c r="C677" s="118" t="s">
        <v>2412</v>
      </c>
      <c r="D677" s="119" t="s">
        <v>2310</v>
      </c>
      <c r="E677" s="30" t="s">
        <v>3447</v>
      </c>
      <c r="F677" s="32" t="s">
        <v>3448</v>
      </c>
      <c r="G677" s="33">
        <f t="shared" si="262"/>
        <v>2.4</v>
      </c>
      <c r="H677" s="33">
        <v>2.4</v>
      </c>
      <c r="I677" s="33"/>
      <c r="J677" s="33"/>
      <c r="K677" s="33"/>
      <c r="L677" s="33"/>
      <c r="M677" s="54">
        <f t="shared" si="263"/>
        <v>0</v>
      </c>
      <c r="N677" s="54"/>
      <c r="O677" s="54"/>
      <c r="P677" s="54"/>
      <c r="Q677" s="68">
        <f t="shared" si="264"/>
        <v>0</v>
      </c>
      <c r="R677" s="68"/>
      <c r="S677" s="68"/>
      <c r="T677" s="68"/>
      <c r="U677" s="129"/>
      <c r="V677" s="33">
        <f t="shared" si="265"/>
        <v>2.4</v>
      </c>
      <c r="W677" s="130" t="s">
        <v>2283</v>
      </c>
    </row>
    <row r="678" s="4" customFormat="1" ht="26.25" customHeight="1" spans="1:23">
      <c r="A678" s="117">
        <v>601001</v>
      </c>
      <c r="B678" s="29" t="s">
        <v>2068</v>
      </c>
      <c r="C678" s="118" t="s">
        <v>2412</v>
      </c>
      <c r="D678" s="119" t="s">
        <v>2310</v>
      </c>
      <c r="E678" s="30" t="s">
        <v>3449</v>
      </c>
      <c r="F678" s="32" t="s">
        <v>3450</v>
      </c>
      <c r="G678" s="33">
        <f t="shared" si="262"/>
        <v>6</v>
      </c>
      <c r="H678" s="33">
        <v>6</v>
      </c>
      <c r="I678" s="33"/>
      <c r="J678" s="33"/>
      <c r="K678" s="33"/>
      <c r="L678" s="33"/>
      <c r="M678" s="54">
        <f t="shared" si="263"/>
        <v>0</v>
      </c>
      <c r="N678" s="54"/>
      <c r="O678" s="54"/>
      <c r="P678" s="54"/>
      <c r="Q678" s="68">
        <f t="shared" si="264"/>
        <v>0</v>
      </c>
      <c r="R678" s="68"/>
      <c r="S678" s="68"/>
      <c r="T678" s="68"/>
      <c r="U678" s="129"/>
      <c r="V678" s="33">
        <f t="shared" si="265"/>
        <v>6</v>
      </c>
      <c r="W678" s="130" t="s">
        <v>2283</v>
      </c>
    </row>
    <row r="679" s="4" customFormat="1" ht="26.25" customHeight="1" spans="1:23">
      <c r="A679" s="117">
        <v>601001</v>
      </c>
      <c r="B679" s="29" t="s">
        <v>2068</v>
      </c>
      <c r="C679" s="118" t="s">
        <v>2412</v>
      </c>
      <c r="D679" s="119" t="s">
        <v>2310</v>
      </c>
      <c r="E679" s="30" t="s">
        <v>3451</v>
      </c>
      <c r="F679" s="32" t="s">
        <v>3452</v>
      </c>
      <c r="G679" s="33">
        <f t="shared" si="262"/>
        <v>2.5</v>
      </c>
      <c r="H679" s="33">
        <v>2.5</v>
      </c>
      <c r="I679" s="33"/>
      <c r="J679" s="33"/>
      <c r="K679" s="33"/>
      <c r="L679" s="33"/>
      <c r="M679" s="54">
        <f t="shared" si="263"/>
        <v>0</v>
      </c>
      <c r="N679" s="54"/>
      <c r="O679" s="54"/>
      <c r="P679" s="54"/>
      <c r="Q679" s="68">
        <f t="shared" si="264"/>
        <v>0</v>
      </c>
      <c r="R679" s="68"/>
      <c r="S679" s="68"/>
      <c r="T679" s="68"/>
      <c r="U679" s="129"/>
      <c r="V679" s="33">
        <f t="shared" si="265"/>
        <v>2.5</v>
      </c>
      <c r="W679" s="130" t="s">
        <v>2283</v>
      </c>
    </row>
    <row r="680" s="4" customFormat="1" ht="26.25" customHeight="1" spans="1:23">
      <c r="A680" s="115">
        <v>601002</v>
      </c>
      <c r="B680" s="23" t="s">
        <v>1384</v>
      </c>
      <c r="C680" s="116"/>
      <c r="D680" s="116"/>
      <c r="E680" s="84"/>
      <c r="F680" s="26"/>
      <c r="G680" s="27">
        <f t="shared" ref="G680:V680" si="267">SUM(G681:G687)</f>
        <v>78.7</v>
      </c>
      <c r="H680" s="27">
        <f t="shared" si="267"/>
        <v>78.7</v>
      </c>
      <c r="I680" s="27">
        <f t="shared" si="267"/>
        <v>0</v>
      </c>
      <c r="J680" s="27">
        <f t="shared" si="267"/>
        <v>0</v>
      </c>
      <c r="K680" s="27">
        <f t="shared" si="267"/>
        <v>0</v>
      </c>
      <c r="L680" s="27">
        <f t="shared" si="267"/>
        <v>0</v>
      </c>
      <c r="M680" s="27">
        <f t="shared" si="267"/>
        <v>0</v>
      </c>
      <c r="N680" s="27">
        <f t="shared" si="267"/>
        <v>0</v>
      </c>
      <c r="O680" s="27">
        <f t="shared" si="267"/>
        <v>0</v>
      </c>
      <c r="P680" s="27">
        <f t="shared" si="267"/>
        <v>0</v>
      </c>
      <c r="Q680" s="27">
        <f t="shared" si="267"/>
        <v>31</v>
      </c>
      <c r="R680" s="27">
        <f t="shared" si="267"/>
        <v>0</v>
      </c>
      <c r="S680" s="27">
        <f t="shared" si="267"/>
        <v>31</v>
      </c>
      <c r="T680" s="27">
        <f t="shared" si="267"/>
        <v>0</v>
      </c>
      <c r="U680" s="27">
        <f t="shared" si="267"/>
        <v>0</v>
      </c>
      <c r="V680" s="27">
        <f t="shared" si="267"/>
        <v>109.7</v>
      </c>
      <c r="W680" s="67"/>
    </row>
    <row r="681" s="4" customFormat="1" ht="26.25" customHeight="1" spans="1:23">
      <c r="A681" s="117">
        <v>601002</v>
      </c>
      <c r="B681" s="29" t="s">
        <v>2086</v>
      </c>
      <c r="C681" s="35" t="s">
        <v>2546</v>
      </c>
      <c r="D681" s="38" t="s">
        <v>2547</v>
      </c>
      <c r="E681" s="121" t="s">
        <v>3453</v>
      </c>
      <c r="F681" s="38" t="s">
        <v>3454</v>
      </c>
      <c r="G681" s="33">
        <f t="shared" ref="G681:G687" si="268">SUM(H681:J681)</f>
        <v>0</v>
      </c>
      <c r="H681" s="33"/>
      <c r="I681" s="33"/>
      <c r="J681" s="33"/>
      <c r="K681" s="33"/>
      <c r="L681" s="33"/>
      <c r="M681" s="54">
        <f t="shared" ref="M681:M687" si="269">N681+O681-P681</f>
        <v>0</v>
      </c>
      <c r="N681" s="54"/>
      <c r="O681" s="54"/>
      <c r="P681" s="54"/>
      <c r="Q681" s="68">
        <f t="shared" ref="Q681:Q687" si="270">R681+S681-T681</f>
        <v>10</v>
      </c>
      <c r="R681" s="68"/>
      <c r="S681" s="68">
        <v>10</v>
      </c>
      <c r="T681" s="68"/>
      <c r="U681" s="129"/>
      <c r="V681" s="68">
        <f t="shared" ref="V681:V687" si="271">G681+K681+L681+M681+Q681-U681</f>
        <v>10</v>
      </c>
      <c r="W681" s="91" t="s">
        <v>2550</v>
      </c>
    </row>
    <row r="682" s="4" customFormat="1" ht="26.25" customHeight="1" spans="1:23">
      <c r="A682" s="117">
        <v>601002</v>
      </c>
      <c r="B682" s="29" t="s">
        <v>2086</v>
      </c>
      <c r="C682" s="118" t="s">
        <v>3455</v>
      </c>
      <c r="D682" s="86" t="s">
        <v>3456</v>
      </c>
      <c r="E682" s="121" t="s">
        <v>3453</v>
      </c>
      <c r="F682" s="38" t="s">
        <v>3454</v>
      </c>
      <c r="G682" s="33">
        <f t="shared" si="268"/>
        <v>0</v>
      </c>
      <c r="H682" s="33"/>
      <c r="I682" s="33"/>
      <c r="J682" s="33"/>
      <c r="K682" s="33"/>
      <c r="L682" s="33"/>
      <c r="M682" s="54">
        <f t="shared" si="269"/>
        <v>0</v>
      </c>
      <c r="N682" s="54"/>
      <c r="O682" s="54"/>
      <c r="P682" s="54"/>
      <c r="Q682" s="68">
        <f t="shared" si="270"/>
        <v>3</v>
      </c>
      <c r="R682" s="68"/>
      <c r="S682" s="68">
        <v>3</v>
      </c>
      <c r="T682" s="68"/>
      <c r="U682" s="129"/>
      <c r="V682" s="68">
        <f t="shared" si="271"/>
        <v>3</v>
      </c>
      <c r="W682" s="91" t="s">
        <v>3457</v>
      </c>
    </row>
    <row r="683" s="4" customFormat="1" ht="26.25" customHeight="1" spans="1:23">
      <c r="A683" s="117">
        <v>601002</v>
      </c>
      <c r="B683" s="29" t="s">
        <v>2086</v>
      </c>
      <c r="C683" s="118" t="s">
        <v>3455</v>
      </c>
      <c r="D683" s="86" t="s">
        <v>3456</v>
      </c>
      <c r="E683" s="121" t="s">
        <v>3453</v>
      </c>
      <c r="F683" s="38" t="s">
        <v>3454</v>
      </c>
      <c r="G683" s="33">
        <f t="shared" si="268"/>
        <v>0</v>
      </c>
      <c r="H683" s="33"/>
      <c r="I683" s="33"/>
      <c r="J683" s="33"/>
      <c r="K683" s="33"/>
      <c r="L683" s="33"/>
      <c r="M683" s="54">
        <f t="shared" si="269"/>
        <v>0</v>
      </c>
      <c r="N683" s="54"/>
      <c r="O683" s="54"/>
      <c r="P683" s="54"/>
      <c r="Q683" s="68">
        <f t="shared" si="270"/>
        <v>13</v>
      </c>
      <c r="R683" s="68"/>
      <c r="S683" s="68">
        <v>13</v>
      </c>
      <c r="T683" s="68"/>
      <c r="U683" s="129"/>
      <c r="V683" s="68">
        <f t="shared" si="271"/>
        <v>13</v>
      </c>
      <c r="W683" s="91" t="s">
        <v>3458</v>
      </c>
    </row>
    <row r="684" s="4" customFormat="1" ht="26.25" customHeight="1" spans="1:23">
      <c r="A684" s="117">
        <v>601002</v>
      </c>
      <c r="B684" s="29" t="s">
        <v>2086</v>
      </c>
      <c r="C684" s="118" t="s">
        <v>3455</v>
      </c>
      <c r="D684" s="119" t="s">
        <v>3456</v>
      </c>
      <c r="E684" s="30" t="s">
        <v>3459</v>
      </c>
      <c r="F684" s="32" t="s">
        <v>932</v>
      </c>
      <c r="G684" s="33">
        <f t="shared" si="268"/>
        <v>60</v>
      </c>
      <c r="H684" s="33">
        <v>60</v>
      </c>
      <c r="I684" s="33"/>
      <c r="J684" s="33"/>
      <c r="K684" s="33"/>
      <c r="L684" s="33"/>
      <c r="M684" s="54">
        <f t="shared" si="269"/>
        <v>0</v>
      </c>
      <c r="N684" s="54"/>
      <c r="O684" s="54"/>
      <c r="P684" s="54"/>
      <c r="Q684" s="68">
        <f t="shared" si="270"/>
        <v>0</v>
      </c>
      <c r="R684" s="68"/>
      <c r="S684" s="68"/>
      <c r="T684" s="68"/>
      <c r="U684" s="129"/>
      <c r="V684" s="33">
        <f t="shared" si="271"/>
        <v>60</v>
      </c>
      <c r="W684" s="130" t="s">
        <v>2283</v>
      </c>
    </row>
    <row r="685" s="4" customFormat="1" ht="26.25" customHeight="1" spans="1:23">
      <c r="A685" s="117">
        <v>601002</v>
      </c>
      <c r="B685" s="29" t="s">
        <v>2086</v>
      </c>
      <c r="C685" s="118" t="s">
        <v>3455</v>
      </c>
      <c r="D685" s="119" t="s">
        <v>3456</v>
      </c>
      <c r="E685" s="30" t="s">
        <v>3460</v>
      </c>
      <c r="F685" s="32" t="s">
        <v>2305</v>
      </c>
      <c r="G685" s="33">
        <f t="shared" si="268"/>
        <v>15</v>
      </c>
      <c r="H685" s="33">
        <v>15</v>
      </c>
      <c r="I685" s="33"/>
      <c r="J685" s="33"/>
      <c r="K685" s="33"/>
      <c r="L685" s="33"/>
      <c r="M685" s="54">
        <f t="shared" si="269"/>
        <v>0</v>
      </c>
      <c r="N685" s="54"/>
      <c r="O685" s="54"/>
      <c r="P685" s="54"/>
      <c r="Q685" s="68">
        <f t="shared" si="270"/>
        <v>0</v>
      </c>
      <c r="R685" s="68"/>
      <c r="S685" s="68"/>
      <c r="T685" s="68"/>
      <c r="U685" s="129"/>
      <c r="V685" s="33">
        <f t="shared" si="271"/>
        <v>15</v>
      </c>
      <c r="W685" s="130" t="s">
        <v>2283</v>
      </c>
    </row>
    <row r="686" s="4" customFormat="1" ht="26.25" customHeight="1" spans="1:23">
      <c r="A686" s="117">
        <v>601002</v>
      </c>
      <c r="B686" s="29" t="s">
        <v>2086</v>
      </c>
      <c r="C686" s="118" t="s">
        <v>3455</v>
      </c>
      <c r="D686" s="119" t="s">
        <v>3456</v>
      </c>
      <c r="E686" s="30" t="s">
        <v>3461</v>
      </c>
      <c r="F686" s="32" t="s">
        <v>3462</v>
      </c>
      <c r="G686" s="33">
        <f t="shared" si="268"/>
        <v>3.7</v>
      </c>
      <c r="H686" s="33">
        <v>3.7</v>
      </c>
      <c r="I686" s="33"/>
      <c r="J686" s="33"/>
      <c r="K686" s="33"/>
      <c r="L686" s="33"/>
      <c r="M686" s="54">
        <f t="shared" si="269"/>
        <v>0</v>
      </c>
      <c r="N686" s="54"/>
      <c r="O686" s="54"/>
      <c r="P686" s="54"/>
      <c r="Q686" s="68">
        <f t="shared" si="270"/>
        <v>0</v>
      </c>
      <c r="R686" s="68"/>
      <c r="S686" s="68"/>
      <c r="T686" s="68"/>
      <c r="U686" s="129"/>
      <c r="V686" s="33">
        <f t="shared" si="271"/>
        <v>3.7</v>
      </c>
      <c r="W686" s="130" t="s">
        <v>2283</v>
      </c>
    </row>
    <row r="687" s="4" customFormat="1" ht="26.25" customHeight="1" spans="1:23">
      <c r="A687" s="117">
        <v>601002</v>
      </c>
      <c r="B687" s="29" t="s">
        <v>2086</v>
      </c>
      <c r="C687" s="35" t="s">
        <v>2412</v>
      </c>
      <c r="D687" s="38" t="s">
        <v>2310</v>
      </c>
      <c r="E687" s="121" t="s">
        <v>3463</v>
      </c>
      <c r="F687" s="38" t="s">
        <v>3464</v>
      </c>
      <c r="G687" s="33">
        <f t="shared" si="268"/>
        <v>0</v>
      </c>
      <c r="H687" s="33"/>
      <c r="I687" s="33"/>
      <c r="J687" s="33"/>
      <c r="K687" s="33"/>
      <c r="L687" s="33"/>
      <c r="M687" s="54">
        <f t="shared" si="269"/>
        <v>0</v>
      </c>
      <c r="N687" s="54"/>
      <c r="O687" s="54"/>
      <c r="P687" s="54"/>
      <c r="Q687" s="68">
        <f t="shared" si="270"/>
        <v>5</v>
      </c>
      <c r="R687" s="68"/>
      <c r="S687" s="68">
        <v>5</v>
      </c>
      <c r="T687" s="68"/>
      <c r="U687" s="129"/>
      <c r="V687" s="68">
        <f t="shared" si="271"/>
        <v>5</v>
      </c>
      <c r="W687" s="91" t="s">
        <v>3465</v>
      </c>
    </row>
    <row r="688" s="4" customFormat="1" ht="26.25" customHeight="1" spans="1:23">
      <c r="A688" s="115">
        <v>602001</v>
      </c>
      <c r="B688" s="23" t="s">
        <v>1386</v>
      </c>
      <c r="C688" s="116"/>
      <c r="D688" s="116"/>
      <c r="E688" s="84"/>
      <c r="F688" s="26"/>
      <c r="G688" s="27">
        <f t="shared" ref="G688:V688" si="272">SUM(G689:G730)</f>
        <v>2193.12</v>
      </c>
      <c r="H688" s="27">
        <f t="shared" si="272"/>
        <v>1512.12</v>
      </c>
      <c r="I688" s="27">
        <f t="shared" si="272"/>
        <v>658.2</v>
      </c>
      <c r="J688" s="27">
        <f t="shared" si="272"/>
        <v>22.8</v>
      </c>
      <c r="K688" s="27">
        <f t="shared" si="272"/>
        <v>76.375</v>
      </c>
      <c r="L688" s="27">
        <f t="shared" si="272"/>
        <v>30</v>
      </c>
      <c r="M688" s="27">
        <f t="shared" si="272"/>
        <v>199.7</v>
      </c>
      <c r="N688" s="27">
        <f t="shared" si="272"/>
        <v>-22.8</v>
      </c>
      <c r="O688" s="27">
        <f t="shared" si="272"/>
        <v>222.5</v>
      </c>
      <c r="P688" s="27">
        <f t="shared" si="272"/>
        <v>0</v>
      </c>
      <c r="Q688" s="27">
        <f t="shared" si="272"/>
        <v>109.761608</v>
      </c>
      <c r="R688" s="27">
        <f t="shared" si="272"/>
        <v>61.6</v>
      </c>
      <c r="S688" s="27">
        <f t="shared" si="272"/>
        <v>48.161608</v>
      </c>
      <c r="T688" s="27">
        <f t="shared" si="272"/>
        <v>0</v>
      </c>
      <c r="U688" s="27">
        <f t="shared" si="272"/>
        <v>210</v>
      </c>
      <c r="V688" s="27">
        <f t="shared" si="272"/>
        <v>2398.956608</v>
      </c>
      <c r="W688" s="67"/>
    </row>
    <row r="689" s="4" customFormat="1" ht="26.25" customHeight="1" spans="1:23">
      <c r="A689" s="117">
        <v>602001</v>
      </c>
      <c r="B689" s="29" t="s">
        <v>2099</v>
      </c>
      <c r="C689" s="118" t="s">
        <v>3382</v>
      </c>
      <c r="D689" s="119" t="s">
        <v>3383</v>
      </c>
      <c r="E689" s="30" t="s">
        <v>3466</v>
      </c>
      <c r="F689" s="32" t="s">
        <v>3385</v>
      </c>
      <c r="G689" s="33">
        <f t="shared" ref="G689:G730" si="273">SUM(H689:J689)</f>
        <v>5</v>
      </c>
      <c r="H689" s="33">
        <v>5</v>
      </c>
      <c r="I689" s="33"/>
      <c r="J689" s="33"/>
      <c r="K689" s="33"/>
      <c r="L689" s="33"/>
      <c r="M689" s="54">
        <f t="shared" ref="M689:M730" si="274">N689+O689-P689</f>
        <v>0</v>
      </c>
      <c r="N689" s="54"/>
      <c r="O689" s="54"/>
      <c r="P689" s="54"/>
      <c r="Q689" s="68">
        <f t="shared" ref="Q689:Q730" si="275">R689+S689-T689</f>
        <v>0</v>
      </c>
      <c r="R689" s="68"/>
      <c r="S689" s="68"/>
      <c r="T689" s="68"/>
      <c r="U689" s="129"/>
      <c r="V689" s="33">
        <f t="shared" ref="V689:V730" si="276">G689+K689+L689+M689+Q689-U689</f>
        <v>5</v>
      </c>
      <c r="W689" s="130" t="s">
        <v>2283</v>
      </c>
    </row>
    <row r="690" s="4" customFormat="1" ht="26.25" customHeight="1" spans="1:23">
      <c r="A690" s="117">
        <v>602001</v>
      </c>
      <c r="B690" s="29" t="s">
        <v>2099</v>
      </c>
      <c r="C690" s="35" t="s">
        <v>1438</v>
      </c>
      <c r="D690" s="40" t="s">
        <v>1439</v>
      </c>
      <c r="E690" s="121" t="s">
        <v>3467</v>
      </c>
      <c r="F690" s="35" t="s">
        <v>1087</v>
      </c>
      <c r="G690" s="33">
        <f t="shared" si="273"/>
        <v>0</v>
      </c>
      <c r="H690" s="33"/>
      <c r="I690" s="33"/>
      <c r="J690" s="33"/>
      <c r="K690" s="55">
        <v>100</v>
      </c>
      <c r="L690" s="33"/>
      <c r="M690" s="54">
        <f t="shared" si="274"/>
        <v>0</v>
      </c>
      <c r="N690" s="54"/>
      <c r="O690" s="54"/>
      <c r="P690" s="54"/>
      <c r="Q690" s="68">
        <f t="shared" si="275"/>
        <v>0</v>
      </c>
      <c r="R690" s="68"/>
      <c r="S690" s="68"/>
      <c r="T690" s="68"/>
      <c r="U690" s="129"/>
      <c r="V690" s="33">
        <f t="shared" si="276"/>
        <v>100</v>
      </c>
      <c r="W690" s="130" t="s">
        <v>2283</v>
      </c>
    </row>
    <row r="691" s="4" customFormat="1" ht="26.25" customHeight="1" spans="1:23">
      <c r="A691" s="117">
        <v>602001</v>
      </c>
      <c r="B691" s="29" t="s">
        <v>2099</v>
      </c>
      <c r="C691" s="118" t="s">
        <v>2280</v>
      </c>
      <c r="D691" s="120" t="s">
        <v>2083</v>
      </c>
      <c r="E691" s="37" t="s">
        <v>3468</v>
      </c>
      <c r="F691" s="32" t="s">
        <v>3399</v>
      </c>
      <c r="G691" s="33">
        <f t="shared" si="273"/>
        <v>14</v>
      </c>
      <c r="H691" s="33">
        <v>14</v>
      </c>
      <c r="I691" s="33"/>
      <c r="J691" s="33"/>
      <c r="K691" s="33"/>
      <c r="L691" s="33"/>
      <c r="M691" s="54">
        <f t="shared" si="274"/>
        <v>0</v>
      </c>
      <c r="N691" s="54"/>
      <c r="O691" s="54"/>
      <c r="P691" s="54"/>
      <c r="Q691" s="68">
        <f t="shared" si="275"/>
        <v>0</v>
      </c>
      <c r="R691" s="68"/>
      <c r="S691" s="68"/>
      <c r="T691" s="68"/>
      <c r="U691" s="129"/>
      <c r="V691" s="70">
        <f t="shared" si="276"/>
        <v>14</v>
      </c>
      <c r="W691" s="130" t="s">
        <v>2283</v>
      </c>
    </row>
    <row r="692" s="4" customFormat="1" ht="26.25" customHeight="1" spans="1:23">
      <c r="A692" s="117">
        <v>602001</v>
      </c>
      <c r="B692" s="29" t="s">
        <v>2099</v>
      </c>
      <c r="C692" s="118" t="s">
        <v>2280</v>
      </c>
      <c r="D692" s="119" t="s">
        <v>2083</v>
      </c>
      <c r="E692" s="30" t="s">
        <v>3469</v>
      </c>
      <c r="F692" s="32" t="s">
        <v>2305</v>
      </c>
      <c r="G692" s="33">
        <f t="shared" si="273"/>
        <v>60</v>
      </c>
      <c r="H692" s="33">
        <v>60</v>
      </c>
      <c r="I692" s="33"/>
      <c r="J692" s="33"/>
      <c r="K692" s="33"/>
      <c r="L692" s="33"/>
      <c r="M692" s="54">
        <f t="shared" si="274"/>
        <v>0</v>
      </c>
      <c r="N692" s="54"/>
      <c r="O692" s="54"/>
      <c r="P692" s="54"/>
      <c r="Q692" s="68">
        <f t="shared" si="275"/>
        <v>0</v>
      </c>
      <c r="R692" s="68"/>
      <c r="S692" s="68"/>
      <c r="T692" s="68"/>
      <c r="U692" s="129"/>
      <c r="V692" s="33">
        <f t="shared" si="276"/>
        <v>60</v>
      </c>
      <c r="W692" s="130" t="s">
        <v>2283</v>
      </c>
    </row>
    <row r="693" s="4" customFormat="1" ht="26.25" customHeight="1" spans="1:23">
      <c r="A693" s="117">
        <v>602001</v>
      </c>
      <c r="B693" s="29" t="s">
        <v>2099</v>
      </c>
      <c r="C693" s="118" t="s">
        <v>2280</v>
      </c>
      <c r="D693" s="119" t="s">
        <v>2083</v>
      </c>
      <c r="E693" s="30" t="s">
        <v>3470</v>
      </c>
      <c r="F693" s="32" t="s">
        <v>2288</v>
      </c>
      <c r="G693" s="33">
        <f t="shared" si="273"/>
        <v>2.4</v>
      </c>
      <c r="H693" s="33">
        <v>2.4</v>
      </c>
      <c r="I693" s="33"/>
      <c r="J693" s="33"/>
      <c r="K693" s="33"/>
      <c r="L693" s="33"/>
      <c r="M693" s="54">
        <f t="shared" si="274"/>
        <v>0</v>
      </c>
      <c r="N693" s="54"/>
      <c r="O693" s="54"/>
      <c r="P693" s="54"/>
      <c r="Q693" s="68">
        <f t="shared" si="275"/>
        <v>0</v>
      </c>
      <c r="R693" s="68"/>
      <c r="S693" s="68"/>
      <c r="T693" s="68"/>
      <c r="U693" s="129"/>
      <c r="V693" s="33">
        <f t="shared" si="276"/>
        <v>2.4</v>
      </c>
      <c r="W693" s="130" t="s">
        <v>2283</v>
      </c>
    </row>
    <row r="694" s="4" customFormat="1" ht="26.25" customHeight="1" spans="1:23">
      <c r="A694" s="117">
        <v>602001</v>
      </c>
      <c r="B694" s="29" t="s">
        <v>2099</v>
      </c>
      <c r="C694" s="118" t="s">
        <v>2280</v>
      </c>
      <c r="D694" s="119" t="s">
        <v>2083</v>
      </c>
      <c r="E694" s="30" t="s">
        <v>3471</v>
      </c>
      <c r="F694" s="32" t="s">
        <v>3394</v>
      </c>
      <c r="G694" s="33">
        <f t="shared" si="273"/>
        <v>2.4</v>
      </c>
      <c r="H694" s="33">
        <v>2.4</v>
      </c>
      <c r="I694" s="33"/>
      <c r="J694" s="33"/>
      <c r="K694" s="33"/>
      <c r="L694" s="33"/>
      <c r="M694" s="54">
        <f t="shared" si="274"/>
        <v>0</v>
      </c>
      <c r="N694" s="54"/>
      <c r="O694" s="54"/>
      <c r="P694" s="54"/>
      <c r="Q694" s="68">
        <f t="shared" si="275"/>
        <v>0</v>
      </c>
      <c r="R694" s="68"/>
      <c r="S694" s="68"/>
      <c r="T694" s="68"/>
      <c r="U694" s="129"/>
      <c r="V694" s="33">
        <f t="shared" si="276"/>
        <v>2.4</v>
      </c>
      <c r="W694" s="130" t="s">
        <v>2283</v>
      </c>
    </row>
    <row r="695" s="4" customFormat="1" ht="26.25" customHeight="1" spans="1:23">
      <c r="A695" s="117">
        <v>602001</v>
      </c>
      <c r="B695" s="29" t="s">
        <v>2099</v>
      </c>
      <c r="C695" s="118" t="s">
        <v>2280</v>
      </c>
      <c r="D695" s="120" t="s">
        <v>2083</v>
      </c>
      <c r="E695" s="37" t="s">
        <v>3472</v>
      </c>
      <c r="F695" s="32" t="s">
        <v>3396</v>
      </c>
      <c r="G695" s="33">
        <f t="shared" si="273"/>
        <v>117</v>
      </c>
      <c r="H695" s="33">
        <v>117</v>
      </c>
      <c r="I695" s="33"/>
      <c r="J695" s="33"/>
      <c r="K695" s="33"/>
      <c r="L695" s="33"/>
      <c r="M695" s="54">
        <f t="shared" si="274"/>
        <v>0</v>
      </c>
      <c r="N695" s="54"/>
      <c r="O695" s="54"/>
      <c r="P695" s="54"/>
      <c r="Q695" s="68">
        <f t="shared" si="275"/>
        <v>0</v>
      </c>
      <c r="R695" s="68"/>
      <c r="S695" s="68"/>
      <c r="T695" s="68"/>
      <c r="U695" s="129"/>
      <c r="V695" s="70">
        <f t="shared" si="276"/>
        <v>117</v>
      </c>
      <c r="W695" s="130" t="s">
        <v>2283</v>
      </c>
    </row>
    <row r="696" s="4" customFormat="1" ht="26.25" customHeight="1" spans="1:23">
      <c r="A696" s="117">
        <v>602001</v>
      </c>
      <c r="B696" s="29" t="s">
        <v>2099</v>
      </c>
      <c r="C696" s="118" t="s">
        <v>2280</v>
      </c>
      <c r="D696" s="119" t="s">
        <v>2083</v>
      </c>
      <c r="E696" s="30" t="s">
        <v>3473</v>
      </c>
      <c r="F696" s="32" t="s">
        <v>3388</v>
      </c>
      <c r="G696" s="33">
        <f t="shared" si="273"/>
        <v>5</v>
      </c>
      <c r="H696" s="33">
        <v>5</v>
      </c>
      <c r="I696" s="33"/>
      <c r="J696" s="33"/>
      <c r="K696" s="33"/>
      <c r="L696" s="33"/>
      <c r="M696" s="54">
        <f t="shared" si="274"/>
        <v>0</v>
      </c>
      <c r="N696" s="54"/>
      <c r="O696" s="54"/>
      <c r="P696" s="54"/>
      <c r="Q696" s="68">
        <f t="shared" si="275"/>
        <v>0</v>
      </c>
      <c r="R696" s="68"/>
      <c r="S696" s="68"/>
      <c r="T696" s="68"/>
      <c r="U696" s="129"/>
      <c r="V696" s="33">
        <f t="shared" si="276"/>
        <v>5</v>
      </c>
      <c r="W696" s="130" t="s">
        <v>2283</v>
      </c>
    </row>
    <row r="697" s="4" customFormat="1" ht="26.25" customHeight="1" spans="1:23">
      <c r="A697" s="117">
        <v>602001</v>
      </c>
      <c r="B697" s="29" t="s">
        <v>2099</v>
      </c>
      <c r="C697" s="118" t="s">
        <v>2280</v>
      </c>
      <c r="D697" s="119" t="s">
        <v>2083</v>
      </c>
      <c r="E697" s="30" t="s">
        <v>3474</v>
      </c>
      <c r="F697" s="32" t="s">
        <v>933</v>
      </c>
      <c r="G697" s="33">
        <f t="shared" si="273"/>
        <v>1</v>
      </c>
      <c r="H697" s="33">
        <v>1</v>
      </c>
      <c r="I697" s="33"/>
      <c r="J697" s="33"/>
      <c r="K697" s="33"/>
      <c r="L697" s="33"/>
      <c r="M697" s="54">
        <f t="shared" si="274"/>
        <v>0</v>
      </c>
      <c r="N697" s="54"/>
      <c r="O697" s="54"/>
      <c r="P697" s="54"/>
      <c r="Q697" s="68">
        <f t="shared" si="275"/>
        <v>0</v>
      </c>
      <c r="R697" s="68"/>
      <c r="S697" s="68"/>
      <c r="T697" s="68"/>
      <c r="U697" s="129"/>
      <c r="V697" s="33">
        <f t="shared" si="276"/>
        <v>1</v>
      </c>
      <c r="W697" s="130" t="s">
        <v>2283</v>
      </c>
    </row>
    <row r="698" s="4" customFormat="1" ht="26.25" customHeight="1" spans="1:23">
      <c r="A698" s="117">
        <v>602001</v>
      </c>
      <c r="B698" s="29" t="s">
        <v>2099</v>
      </c>
      <c r="C698" s="118" t="s">
        <v>2280</v>
      </c>
      <c r="D698" s="29" t="s">
        <v>2083</v>
      </c>
      <c r="E698" s="30" t="s">
        <v>3475</v>
      </c>
      <c r="F698" s="32" t="s">
        <v>1080</v>
      </c>
      <c r="G698" s="33">
        <f t="shared" si="273"/>
        <v>658.2</v>
      </c>
      <c r="H698" s="33"/>
      <c r="I698" s="33">
        <v>658.2</v>
      </c>
      <c r="J698" s="33"/>
      <c r="K698" s="33"/>
      <c r="L698" s="33"/>
      <c r="M698" s="54">
        <f t="shared" si="274"/>
        <v>0</v>
      </c>
      <c r="N698" s="54"/>
      <c r="O698" s="54"/>
      <c r="P698" s="54"/>
      <c r="Q698" s="68">
        <f t="shared" si="275"/>
        <v>0</v>
      </c>
      <c r="R698" s="68"/>
      <c r="S698" s="68"/>
      <c r="T698" s="68"/>
      <c r="U698" s="129">
        <v>210</v>
      </c>
      <c r="V698" s="33">
        <f t="shared" si="276"/>
        <v>448.2</v>
      </c>
      <c r="W698" s="130" t="s">
        <v>2283</v>
      </c>
    </row>
    <row r="699" s="4" customFormat="1" ht="26.25" customHeight="1" spans="1:23">
      <c r="A699" s="117">
        <v>602001</v>
      </c>
      <c r="B699" s="29" t="s">
        <v>2099</v>
      </c>
      <c r="C699" s="35" t="s">
        <v>2546</v>
      </c>
      <c r="D699" s="38" t="s">
        <v>2547</v>
      </c>
      <c r="E699" s="121" t="s">
        <v>3476</v>
      </c>
      <c r="F699" s="38" t="s">
        <v>3454</v>
      </c>
      <c r="G699" s="33">
        <f t="shared" si="273"/>
        <v>0</v>
      </c>
      <c r="H699" s="33"/>
      <c r="I699" s="33"/>
      <c r="J699" s="33"/>
      <c r="K699" s="33"/>
      <c r="L699" s="33"/>
      <c r="M699" s="54">
        <f t="shared" si="274"/>
        <v>0</v>
      </c>
      <c r="N699" s="54"/>
      <c r="O699" s="54"/>
      <c r="P699" s="54"/>
      <c r="Q699" s="68">
        <f t="shared" si="275"/>
        <v>5</v>
      </c>
      <c r="R699" s="68"/>
      <c r="S699" s="68">
        <v>5</v>
      </c>
      <c r="T699" s="68"/>
      <c r="U699" s="129"/>
      <c r="V699" s="68">
        <f t="shared" si="276"/>
        <v>5</v>
      </c>
      <c r="W699" s="91" t="s">
        <v>2550</v>
      </c>
    </row>
    <row r="700" s="4" customFormat="1" ht="26.25" customHeight="1" spans="1:23">
      <c r="A700" s="117">
        <v>602001</v>
      </c>
      <c r="B700" s="29" t="s">
        <v>2099</v>
      </c>
      <c r="C700" s="118" t="s">
        <v>3455</v>
      </c>
      <c r="D700" s="86" t="s">
        <v>3456</v>
      </c>
      <c r="E700" s="121" t="s">
        <v>3476</v>
      </c>
      <c r="F700" s="38" t="s">
        <v>3454</v>
      </c>
      <c r="G700" s="33">
        <f t="shared" si="273"/>
        <v>0</v>
      </c>
      <c r="H700" s="33"/>
      <c r="I700" s="33"/>
      <c r="J700" s="33"/>
      <c r="K700" s="33"/>
      <c r="L700" s="33"/>
      <c r="M700" s="54">
        <f t="shared" si="274"/>
        <v>0</v>
      </c>
      <c r="N700" s="54"/>
      <c r="O700" s="54"/>
      <c r="P700" s="54"/>
      <c r="Q700" s="68">
        <f t="shared" si="275"/>
        <v>1</v>
      </c>
      <c r="R700" s="68"/>
      <c r="S700" s="68">
        <v>1</v>
      </c>
      <c r="T700" s="68"/>
      <c r="U700" s="129"/>
      <c r="V700" s="68">
        <f t="shared" si="276"/>
        <v>1</v>
      </c>
      <c r="W700" s="91" t="s">
        <v>3457</v>
      </c>
    </row>
    <row r="701" s="4" customFormat="1" ht="26.25" customHeight="1" spans="1:23">
      <c r="A701" s="117">
        <v>602001</v>
      </c>
      <c r="B701" s="29" t="s">
        <v>2099</v>
      </c>
      <c r="C701" s="118" t="s">
        <v>3455</v>
      </c>
      <c r="D701" s="86" t="s">
        <v>3456</v>
      </c>
      <c r="E701" s="121" t="s">
        <v>3476</v>
      </c>
      <c r="F701" s="38" t="s">
        <v>3454</v>
      </c>
      <c r="G701" s="33">
        <f t="shared" si="273"/>
        <v>0</v>
      </c>
      <c r="H701" s="33"/>
      <c r="I701" s="33"/>
      <c r="J701" s="33"/>
      <c r="K701" s="33"/>
      <c r="L701" s="33"/>
      <c r="M701" s="54">
        <f t="shared" si="274"/>
        <v>0</v>
      </c>
      <c r="N701" s="54"/>
      <c r="O701" s="54"/>
      <c r="P701" s="54"/>
      <c r="Q701" s="68">
        <f t="shared" si="275"/>
        <v>4</v>
      </c>
      <c r="R701" s="68"/>
      <c r="S701" s="68">
        <v>4</v>
      </c>
      <c r="T701" s="68"/>
      <c r="U701" s="129"/>
      <c r="V701" s="68">
        <f t="shared" si="276"/>
        <v>4</v>
      </c>
      <c r="W701" s="91" t="s">
        <v>3458</v>
      </c>
    </row>
    <row r="702" s="4" customFormat="1" ht="26.25" customHeight="1" spans="1:23">
      <c r="A702" s="117">
        <v>602001</v>
      </c>
      <c r="B702" s="29" t="s">
        <v>2099</v>
      </c>
      <c r="C702" s="118" t="s">
        <v>3455</v>
      </c>
      <c r="D702" s="119" t="s">
        <v>3456</v>
      </c>
      <c r="E702" s="30" t="s">
        <v>3477</v>
      </c>
      <c r="F702" s="32" t="s">
        <v>932</v>
      </c>
      <c r="G702" s="33">
        <f t="shared" si="273"/>
        <v>33.5</v>
      </c>
      <c r="H702" s="33">
        <v>33.5</v>
      </c>
      <c r="I702" s="33"/>
      <c r="J702" s="33"/>
      <c r="K702" s="33"/>
      <c r="L702" s="33"/>
      <c r="M702" s="54">
        <f t="shared" si="274"/>
        <v>0</v>
      </c>
      <c r="N702" s="54"/>
      <c r="O702" s="54"/>
      <c r="P702" s="54"/>
      <c r="Q702" s="68">
        <f t="shared" si="275"/>
        <v>0</v>
      </c>
      <c r="R702" s="68"/>
      <c r="S702" s="68"/>
      <c r="T702" s="68"/>
      <c r="U702" s="129"/>
      <c r="V702" s="33">
        <f t="shared" si="276"/>
        <v>33.5</v>
      </c>
      <c r="W702" s="130" t="s">
        <v>2283</v>
      </c>
    </row>
    <row r="703" s="4" customFormat="1" ht="26.25" customHeight="1" spans="1:23">
      <c r="A703" s="117">
        <v>602001</v>
      </c>
      <c r="B703" s="29" t="s">
        <v>2099</v>
      </c>
      <c r="C703" s="118" t="s">
        <v>3455</v>
      </c>
      <c r="D703" s="119" t="s">
        <v>3456</v>
      </c>
      <c r="E703" s="30" t="s">
        <v>3478</v>
      </c>
      <c r="F703" s="32" t="s">
        <v>3462</v>
      </c>
      <c r="G703" s="33">
        <f t="shared" si="273"/>
        <v>3</v>
      </c>
      <c r="H703" s="33">
        <v>3</v>
      </c>
      <c r="I703" s="33"/>
      <c r="J703" s="33"/>
      <c r="K703" s="33"/>
      <c r="L703" s="33"/>
      <c r="M703" s="54">
        <f t="shared" si="274"/>
        <v>0</v>
      </c>
      <c r="N703" s="54"/>
      <c r="O703" s="54"/>
      <c r="P703" s="54"/>
      <c r="Q703" s="68">
        <f t="shared" si="275"/>
        <v>0</v>
      </c>
      <c r="R703" s="68"/>
      <c r="S703" s="68"/>
      <c r="T703" s="68"/>
      <c r="U703" s="129"/>
      <c r="V703" s="33">
        <f t="shared" si="276"/>
        <v>3</v>
      </c>
      <c r="W703" s="130" t="s">
        <v>2283</v>
      </c>
    </row>
    <row r="704" s="4" customFormat="1" ht="26.25" customHeight="1" spans="1:23">
      <c r="A704" s="117">
        <v>602001</v>
      </c>
      <c r="B704" s="29" t="s">
        <v>2099</v>
      </c>
      <c r="C704" s="118" t="s">
        <v>2307</v>
      </c>
      <c r="D704" s="119" t="s">
        <v>2308</v>
      </c>
      <c r="E704" s="30" t="s">
        <v>3479</v>
      </c>
      <c r="F704" s="32" t="s">
        <v>1037</v>
      </c>
      <c r="G704" s="33">
        <f t="shared" si="273"/>
        <v>5</v>
      </c>
      <c r="H704" s="33">
        <v>5</v>
      </c>
      <c r="I704" s="33"/>
      <c r="J704" s="33"/>
      <c r="K704" s="33"/>
      <c r="L704" s="33"/>
      <c r="M704" s="54">
        <f t="shared" si="274"/>
        <v>0</v>
      </c>
      <c r="N704" s="54"/>
      <c r="O704" s="54"/>
      <c r="P704" s="54"/>
      <c r="Q704" s="68">
        <f t="shared" si="275"/>
        <v>0</v>
      </c>
      <c r="R704" s="68"/>
      <c r="S704" s="68"/>
      <c r="T704" s="68"/>
      <c r="U704" s="129"/>
      <c r="V704" s="33">
        <f t="shared" si="276"/>
        <v>5</v>
      </c>
      <c r="W704" s="130" t="s">
        <v>2283</v>
      </c>
    </row>
    <row r="705" s="4" customFormat="1" ht="26.25" customHeight="1" spans="1:23">
      <c r="A705" s="117">
        <v>602001</v>
      </c>
      <c r="B705" s="29" t="s">
        <v>2099</v>
      </c>
      <c r="C705" s="118" t="s">
        <v>3112</v>
      </c>
      <c r="D705" s="86" t="s">
        <v>3113</v>
      </c>
      <c r="E705" s="127" t="s">
        <v>3480</v>
      </c>
      <c r="F705" s="38" t="s">
        <v>3481</v>
      </c>
      <c r="G705" s="33">
        <f t="shared" si="273"/>
        <v>0</v>
      </c>
      <c r="H705" s="33"/>
      <c r="I705" s="33"/>
      <c r="J705" s="33"/>
      <c r="K705" s="33"/>
      <c r="L705" s="33"/>
      <c r="M705" s="54">
        <f t="shared" si="274"/>
        <v>0</v>
      </c>
      <c r="N705" s="54"/>
      <c r="O705" s="54"/>
      <c r="P705" s="54"/>
      <c r="Q705" s="68">
        <f t="shared" si="275"/>
        <v>4</v>
      </c>
      <c r="R705" s="68">
        <v>4</v>
      </c>
      <c r="S705" s="68"/>
      <c r="T705" s="68"/>
      <c r="U705" s="129"/>
      <c r="V705" s="68">
        <f t="shared" si="276"/>
        <v>4</v>
      </c>
      <c r="W705" s="91" t="s">
        <v>2498</v>
      </c>
    </row>
    <row r="706" s="4" customFormat="1" ht="26.25" customHeight="1" spans="1:23">
      <c r="A706" s="117">
        <v>602001</v>
      </c>
      <c r="B706" s="29" t="s">
        <v>2099</v>
      </c>
      <c r="C706" s="118" t="s">
        <v>3112</v>
      </c>
      <c r="D706" s="120" t="s">
        <v>3113</v>
      </c>
      <c r="E706" s="37" t="s">
        <v>3482</v>
      </c>
      <c r="F706" s="32" t="s">
        <v>3404</v>
      </c>
      <c r="G706" s="33">
        <f t="shared" si="273"/>
        <v>8</v>
      </c>
      <c r="H706" s="33">
        <v>8</v>
      </c>
      <c r="I706" s="33"/>
      <c r="J706" s="33"/>
      <c r="K706" s="33"/>
      <c r="L706" s="33"/>
      <c r="M706" s="54">
        <f t="shared" si="274"/>
        <v>0</v>
      </c>
      <c r="N706" s="54"/>
      <c r="O706" s="54"/>
      <c r="P706" s="54"/>
      <c r="Q706" s="68">
        <f t="shared" si="275"/>
        <v>0</v>
      </c>
      <c r="R706" s="68"/>
      <c r="S706" s="68"/>
      <c r="T706" s="68"/>
      <c r="U706" s="129"/>
      <c r="V706" s="70">
        <f t="shared" si="276"/>
        <v>8</v>
      </c>
      <c r="W706" s="130" t="s">
        <v>2283</v>
      </c>
    </row>
    <row r="707" s="4" customFormat="1" ht="26.25" customHeight="1" spans="1:23">
      <c r="A707" s="117">
        <v>602001</v>
      </c>
      <c r="B707" s="29" t="s">
        <v>2099</v>
      </c>
      <c r="C707" s="118" t="s">
        <v>3405</v>
      </c>
      <c r="D707" s="86" t="s">
        <v>3406</v>
      </c>
      <c r="E707" s="127" t="s">
        <v>3483</v>
      </c>
      <c r="F707" s="38" t="s">
        <v>3408</v>
      </c>
      <c r="G707" s="33">
        <f t="shared" si="273"/>
        <v>0</v>
      </c>
      <c r="H707" s="33"/>
      <c r="I707" s="33"/>
      <c r="J707" s="33"/>
      <c r="K707" s="33"/>
      <c r="L707" s="33"/>
      <c r="M707" s="54">
        <f t="shared" si="274"/>
        <v>0</v>
      </c>
      <c r="N707" s="54"/>
      <c r="O707" s="54"/>
      <c r="P707" s="54"/>
      <c r="Q707" s="68">
        <f t="shared" si="275"/>
        <v>6.4</v>
      </c>
      <c r="R707" s="68">
        <v>6.4</v>
      </c>
      <c r="S707" s="68"/>
      <c r="T707" s="68"/>
      <c r="U707" s="129"/>
      <c r="V707" s="68">
        <f t="shared" si="276"/>
        <v>6.4</v>
      </c>
      <c r="W707" s="91" t="s">
        <v>2498</v>
      </c>
    </row>
    <row r="708" s="4" customFormat="1" ht="26.25" customHeight="1" spans="1:23">
      <c r="A708" s="117">
        <v>602001</v>
      </c>
      <c r="B708" s="29" t="s">
        <v>2099</v>
      </c>
      <c r="C708" s="118" t="s">
        <v>3405</v>
      </c>
      <c r="D708" s="120" t="s">
        <v>3406</v>
      </c>
      <c r="E708" s="37" t="s">
        <v>3484</v>
      </c>
      <c r="F708" s="32" t="s">
        <v>3408</v>
      </c>
      <c r="G708" s="33">
        <f t="shared" si="273"/>
        <v>12.5</v>
      </c>
      <c r="H708" s="33">
        <v>12.5</v>
      </c>
      <c r="I708" s="33"/>
      <c r="J708" s="33"/>
      <c r="K708" s="33"/>
      <c r="L708" s="33"/>
      <c r="M708" s="54">
        <f t="shared" si="274"/>
        <v>0</v>
      </c>
      <c r="N708" s="54"/>
      <c r="O708" s="54"/>
      <c r="P708" s="54"/>
      <c r="Q708" s="68">
        <f t="shared" si="275"/>
        <v>0</v>
      </c>
      <c r="R708" s="68"/>
      <c r="S708" s="68"/>
      <c r="T708" s="68"/>
      <c r="U708" s="129"/>
      <c r="V708" s="70">
        <f t="shared" si="276"/>
        <v>12.5</v>
      </c>
      <c r="W708" s="130" t="s">
        <v>2283</v>
      </c>
    </row>
    <row r="709" s="4" customFormat="1" ht="26.25" customHeight="1" spans="1:23">
      <c r="A709" s="117">
        <v>602001</v>
      </c>
      <c r="B709" s="29" t="s">
        <v>2099</v>
      </c>
      <c r="C709" s="118" t="s">
        <v>3405</v>
      </c>
      <c r="D709" s="82" t="s">
        <v>3406</v>
      </c>
      <c r="E709" s="37" t="s">
        <v>3485</v>
      </c>
      <c r="F709" s="32" t="s">
        <v>3412</v>
      </c>
      <c r="G709" s="33">
        <f t="shared" si="273"/>
        <v>22.5</v>
      </c>
      <c r="H709" s="33"/>
      <c r="I709" s="33"/>
      <c r="J709" s="33">
        <v>22.5</v>
      </c>
      <c r="K709" s="33"/>
      <c r="L709" s="33"/>
      <c r="M709" s="54">
        <f t="shared" si="274"/>
        <v>0</v>
      </c>
      <c r="N709" s="54">
        <v>-22.5</v>
      </c>
      <c r="O709" s="54">
        <v>22.5</v>
      </c>
      <c r="P709" s="54"/>
      <c r="Q709" s="68">
        <f t="shared" si="275"/>
        <v>0</v>
      </c>
      <c r="R709" s="68"/>
      <c r="S709" s="68"/>
      <c r="T709" s="68"/>
      <c r="U709" s="129"/>
      <c r="V709" s="54">
        <f t="shared" si="276"/>
        <v>22.5</v>
      </c>
      <c r="W709" s="92" t="s">
        <v>653</v>
      </c>
    </row>
    <row r="710" s="4" customFormat="1" ht="26.25" customHeight="1" spans="1:23">
      <c r="A710" s="117">
        <v>602001</v>
      </c>
      <c r="B710" s="29" t="s">
        <v>2099</v>
      </c>
      <c r="C710" s="118" t="s">
        <v>2746</v>
      </c>
      <c r="D710" s="86" t="s">
        <v>2747</v>
      </c>
      <c r="E710" s="127" t="s">
        <v>3486</v>
      </c>
      <c r="F710" s="38" t="s">
        <v>3487</v>
      </c>
      <c r="G710" s="33">
        <f t="shared" si="273"/>
        <v>0</v>
      </c>
      <c r="H710" s="33"/>
      <c r="I710" s="33"/>
      <c r="J710" s="33"/>
      <c r="K710" s="33"/>
      <c r="L710" s="33"/>
      <c r="M710" s="54">
        <f t="shared" si="274"/>
        <v>0</v>
      </c>
      <c r="N710" s="54"/>
      <c r="O710" s="54"/>
      <c r="P710" s="54"/>
      <c r="Q710" s="68">
        <f t="shared" si="275"/>
        <v>45</v>
      </c>
      <c r="R710" s="68">
        <v>45</v>
      </c>
      <c r="S710" s="68"/>
      <c r="T710" s="68"/>
      <c r="U710" s="129"/>
      <c r="V710" s="68">
        <f t="shared" si="276"/>
        <v>45</v>
      </c>
      <c r="W710" s="91" t="s">
        <v>2498</v>
      </c>
    </row>
    <row r="711" s="4" customFormat="1" ht="26.25" customHeight="1" spans="1:23">
      <c r="A711" s="117">
        <v>602001</v>
      </c>
      <c r="B711" s="29" t="s">
        <v>2099</v>
      </c>
      <c r="C711" s="118" t="s">
        <v>2746</v>
      </c>
      <c r="D711" s="86" t="s">
        <v>2747</v>
      </c>
      <c r="E711" s="127" t="s">
        <v>3486</v>
      </c>
      <c r="F711" s="38" t="s">
        <v>3487</v>
      </c>
      <c r="G711" s="33">
        <f t="shared" si="273"/>
        <v>0</v>
      </c>
      <c r="H711" s="33"/>
      <c r="I711" s="33"/>
      <c r="J711" s="33"/>
      <c r="K711" s="33"/>
      <c r="L711" s="33"/>
      <c r="M711" s="54">
        <f t="shared" si="274"/>
        <v>0</v>
      </c>
      <c r="N711" s="54"/>
      <c r="O711" s="54"/>
      <c r="P711" s="54"/>
      <c r="Q711" s="68">
        <f t="shared" si="275"/>
        <v>29.861608</v>
      </c>
      <c r="R711" s="68"/>
      <c r="S711" s="68">
        <v>29.861608</v>
      </c>
      <c r="T711" s="68"/>
      <c r="U711" s="129"/>
      <c r="V711" s="68">
        <f t="shared" si="276"/>
        <v>29.861608</v>
      </c>
      <c r="W711" s="91" t="s">
        <v>3415</v>
      </c>
    </row>
    <row r="712" s="4" customFormat="1" ht="26.25" customHeight="1" spans="1:23">
      <c r="A712" s="117">
        <v>602001</v>
      </c>
      <c r="B712" s="29" t="s">
        <v>2099</v>
      </c>
      <c r="C712" s="118" t="s">
        <v>2746</v>
      </c>
      <c r="D712" s="82" t="s">
        <v>2747</v>
      </c>
      <c r="E712" s="37" t="s">
        <v>3488</v>
      </c>
      <c r="F712" s="32" t="s">
        <v>1084</v>
      </c>
      <c r="G712" s="33">
        <f t="shared" si="273"/>
        <v>0</v>
      </c>
      <c r="H712" s="33"/>
      <c r="I712" s="33"/>
      <c r="J712" s="33"/>
      <c r="K712" s="33"/>
      <c r="L712" s="33"/>
      <c r="M712" s="54">
        <f t="shared" si="274"/>
        <v>90</v>
      </c>
      <c r="N712" s="54"/>
      <c r="O712" s="54">
        <v>90</v>
      </c>
      <c r="P712" s="54"/>
      <c r="Q712" s="68">
        <f t="shared" si="275"/>
        <v>0</v>
      </c>
      <c r="R712" s="68"/>
      <c r="S712" s="68">
        <v>0</v>
      </c>
      <c r="T712" s="68"/>
      <c r="U712" s="129"/>
      <c r="V712" s="54">
        <f t="shared" si="276"/>
        <v>90</v>
      </c>
      <c r="W712" s="92" t="s">
        <v>637</v>
      </c>
    </row>
    <row r="713" s="4" customFormat="1" ht="26.25" customHeight="1" spans="1:23">
      <c r="A713" s="117">
        <v>602001</v>
      </c>
      <c r="B713" s="29" t="s">
        <v>2099</v>
      </c>
      <c r="C713" s="118" t="s">
        <v>2746</v>
      </c>
      <c r="D713" s="119" t="s">
        <v>2747</v>
      </c>
      <c r="E713" s="37" t="s">
        <v>3488</v>
      </c>
      <c r="F713" s="32" t="s">
        <v>1084</v>
      </c>
      <c r="G713" s="33">
        <f t="shared" si="273"/>
        <v>90</v>
      </c>
      <c r="H713" s="33">
        <v>90</v>
      </c>
      <c r="I713" s="33"/>
      <c r="J713" s="33"/>
      <c r="K713" s="33"/>
      <c r="L713" s="33">
        <v>30</v>
      </c>
      <c r="M713" s="54">
        <f t="shared" si="274"/>
        <v>0</v>
      </c>
      <c r="N713" s="54"/>
      <c r="O713" s="54"/>
      <c r="P713" s="54"/>
      <c r="Q713" s="68">
        <f t="shared" si="275"/>
        <v>0</v>
      </c>
      <c r="R713" s="68"/>
      <c r="S713" s="68"/>
      <c r="T713" s="68"/>
      <c r="U713" s="129"/>
      <c r="V713" s="33">
        <f t="shared" si="276"/>
        <v>120</v>
      </c>
      <c r="W713" s="130" t="s">
        <v>2283</v>
      </c>
    </row>
    <row r="714" s="4" customFormat="1" ht="26.25" customHeight="1" spans="1:23">
      <c r="A714" s="117">
        <v>602001</v>
      </c>
      <c r="B714" s="29" t="s">
        <v>2099</v>
      </c>
      <c r="C714" s="118" t="s">
        <v>2746</v>
      </c>
      <c r="D714" s="120" t="s">
        <v>2747</v>
      </c>
      <c r="E714" s="37" t="s">
        <v>3489</v>
      </c>
      <c r="F714" s="32" t="s">
        <v>3490</v>
      </c>
      <c r="G714" s="33">
        <f t="shared" si="273"/>
        <v>450</v>
      </c>
      <c r="H714" s="33">
        <v>450</v>
      </c>
      <c r="I714" s="33"/>
      <c r="J714" s="33"/>
      <c r="K714" s="33"/>
      <c r="L714" s="33"/>
      <c r="M714" s="54">
        <f t="shared" si="274"/>
        <v>0</v>
      </c>
      <c r="N714" s="54"/>
      <c r="O714" s="54"/>
      <c r="P714" s="54"/>
      <c r="Q714" s="68">
        <f t="shared" si="275"/>
        <v>0</v>
      </c>
      <c r="R714" s="68"/>
      <c r="S714" s="68"/>
      <c r="T714" s="68"/>
      <c r="U714" s="129"/>
      <c r="V714" s="70">
        <f t="shared" si="276"/>
        <v>450</v>
      </c>
      <c r="W714" s="130" t="s">
        <v>2283</v>
      </c>
    </row>
    <row r="715" s="4" customFormat="1" ht="26.25" customHeight="1" spans="1:23">
      <c r="A715" s="117">
        <v>602001</v>
      </c>
      <c r="B715" s="29" t="s">
        <v>2099</v>
      </c>
      <c r="C715" s="35" t="s">
        <v>2921</v>
      </c>
      <c r="D715" s="76" t="s">
        <v>2922</v>
      </c>
      <c r="E715" s="127" t="s">
        <v>3491</v>
      </c>
      <c r="F715" s="35" t="s">
        <v>1106</v>
      </c>
      <c r="G715" s="33">
        <f t="shared" si="273"/>
        <v>0</v>
      </c>
      <c r="H715" s="33"/>
      <c r="I715" s="33"/>
      <c r="J715" s="33"/>
      <c r="K715" s="33"/>
      <c r="L715" s="33"/>
      <c r="M715" s="54">
        <f t="shared" si="274"/>
        <v>100</v>
      </c>
      <c r="N715" s="54"/>
      <c r="O715" s="54">
        <v>100</v>
      </c>
      <c r="P715" s="54"/>
      <c r="Q715" s="68">
        <f t="shared" si="275"/>
        <v>0</v>
      </c>
      <c r="R715" s="68"/>
      <c r="S715" s="68"/>
      <c r="T715" s="68"/>
      <c r="U715" s="129"/>
      <c r="V715" s="54">
        <f t="shared" si="276"/>
        <v>100</v>
      </c>
      <c r="W715" s="92" t="s">
        <v>624</v>
      </c>
    </row>
    <row r="716" s="4" customFormat="1" ht="26.25" customHeight="1" spans="1:23">
      <c r="A716" s="117">
        <v>602001</v>
      </c>
      <c r="B716" s="29" t="s">
        <v>2099</v>
      </c>
      <c r="C716" s="118" t="s">
        <v>3284</v>
      </c>
      <c r="D716" s="120" t="s">
        <v>3285</v>
      </c>
      <c r="E716" s="37" t="s">
        <v>3492</v>
      </c>
      <c r="F716" s="32" t="s">
        <v>1058</v>
      </c>
      <c r="G716" s="33">
        <f t="shared" si="273"/>
        <v>162</v>
      </c>
      <c r="H716" s="33">
        <v>162</v>
      </c>
      <c r="I716" s="33"/>
      <c r="J716" s="33"/>
      <c r="K716" s="33">
        <v>-23.625</v>
      </c>
      <c r="L716" s="33"/>
      <c r="M716" s="54">
        <f t="shared" si="274"/>
        <v>0</v>
      </c>
      <c r="N716" s="54"/>
      <c r="O716" s="54"/>
      <c r="P716" s="54"/>
      <c r="Q716" s="68">
        <f t="shared" si="275"/>
        <v>0</v>
      </c>
      <c r="R716" s="68"/>
      <c r="S716" s="68"/>
      <c r="T716" s="68"/>
      <c r="U716" s="129">
        <v>0</v>
      </c>
      <c r="V716" s="70">
        <f t="shared" si="276"/>
        <v>138.375</v>
      </c>
      <c r="W716" s="130" t="s">
        <v>2283</v>
      </c>
    </row>
    <row r="717" s="4" customFormat="1" ht="26.25" customHeight="1" spans="1:23">
      <c r="A717" s="117">
        <v>602001</v>
      </c>
      <c r="B717" s="29" t="s">
        <v>2099</v>
      </c>
      <c r="C717" s="118" t="s">
        <v>3296</v>
      </c>
      <c r="D717" s="119" t="s">
        <v>3294</v>
      </c>
      <c r="E717" s="37" t="s">
        <v>3493</v>
      </c>
      <c r="F717" s="32" t="s">
        <v>3294</v>
      </c>
      <c r="G717" s="33">
        <f t="shared" si="273"/>
        <v>58.92</v>
      </c>
      <c r="H717" s="33">
        <v>58.92</v>
      </c>
      <c r="I717" s="33"/>
      <c r="J717" s="33"/>
      <c r="K717" s="33"/>
      <c r="L717" s="33"/>
      <c r="M717" s="54">
        <f t="shared" si="274"/>
        <v>0</v>
      </c>
      <c r="N717" s="54"/>
      <c r="O717" s="54"/>
      <c r="P717" s="54"/>
      <c r="Q717" s="68">
        <f t="shared" si="275"/>
        <v>0</v>
      </c>
      <c r="R717" s="68"/>
      <c r="S717" s="68"/>
      <c r="T717" s="68"/>
      <c r="U717" s="129"/>
      <c r="V717" s="33">
        <f t="shared" si="276"/>
        <v>58.92</v>
      </c>
      <c r="W717" s="130" t="s">
        <v>2283</v>
      </c>
    </row>
    <row r="718" s="4" customFormat="1" ht="26.25" customHeight="1" spans="1:23">
      <c r="A718" s="117">
        <v>602001</v>
      </c>
      <c r="B718" s="29" t="s">
        <v>2099</v>
      </c>
      <c r="C718" s="118" t="s">
        <v>2617</v>
      </c>
      <c r="D718" s="86" t="s">
        <v>2618</v>
      </c>
      <c r="E718" s="127" t="s">
        <v>3494</v>
      </c>
      <c r="F718" s="38" t="s">
        <v>3495</v>
      </c>
      <c r="G718" s="33">
        <f t="shared" si="273"/>
        <v>0</v>
      </c>
      <c r="H718" s="33"/>
      <c r="I718" s="33"/>
      <c r="J718" s="33"/>
      <c r="K718" s="33"/>
      <c r="L718" s="33"/>
      <c r="M718" s="54">
        <f t="shared" si="274"/>
        <v>0</v>
      </c>
      <c r="N718" s="54"/>
      <c r="O718" s="54"/>
      <c r="P718" s="54"/>
      <c r="Q718" s="68">
        <f t="shared" si="275"/>
        <v>6.2</v>
      </c>
      <c r="R718" s="68">
        <v>6.2</v>
      </c>
      <c r="S718" s="68"/>
      <c r="T718" s="68"/>
      <c r="U718" s="129"/>
      <c r="V718" s="68">
        <f t="shared" si="276"/>
        <v>6.2</v>
      </c>
      <c r="W718" s="91" t="s">
        <v>2498</v>
      </c>
    </row>
    <row r="719" s="4" customFormat="1" ht="26.25" customHeight="1" spans="1:23">
      <c r="A719" s="117">
        <v>602001</v>
      </c>
      <c r="B719" s="29" t="s">
        <v>2099</v>
      </c>
      <c r="C719" s="118" t="s">
        <v>2617</v>
      </c>
      <c r="D719" s="120" t="s">
        <v>2618</v>
      </c>
      <c r="E719" s="37" t="s">
        <v>3496</v>
      </c>
      <c r="F719" s="32" t="s">
        <v>3423</v>
      </c>
      <c r="G719" s="33">
        <f t="shared" si="273"/>
        <v>6</v>
      </c>
      <c r="H719" s="33">
        <v>6</v>
      </c>
      <c r="I719" s="33"/>
      <c r="J719" s="33"/>
      <c r="K719" s="33"/>
      <c r="L719" s="33"/>
      <c r="M719" s="54">
        <f t="shared" si="274"/>
        <v>0</v>
      </c>
      <c r="N719" s="54"/>
      <c r="O719" s="54"/>
      <c r="P719" s="54"/>
      <c r="Q719" s="68">
        <f t="shared" si="275"/>
        <v>0</v>
      </c>
      <c r="R719" s="68"/>
      <c r="S719" s="68"/>
      <c r="T719" s="68"/>
      <c r="U719" s="129"/>
      <c r="V719" s="70">
        <f t="shared" si="276"/>
        <v>6</v>
      </c>
      <c r="W719" s="130" t="s">
        <v>2283</v>
      </c>
    </row>
    <row r="720" s="4" customFormat="1" ht="26.25" customHeight="1" spans="1:23">
      <c r="A720" s="117">
        <v>602001</v>
      </c>
      <c r="B720" s="29" t="s">
        <v>2099</v>
      </c>
      <c r="C720" s="118" t="s">
        <v>2617</v>
      </c>
      <c r="D720" s="82" t="s">
        <v>2618</v>
      </c>
      <c r="E720" s="121" t="s">
        <v>3497</v>
      </c>
      <c r="F720" s="35" t="s">
        <v>3498</v>
      </c>
      <c r="G720" s="33">
        <f t="shared" si="273"/>
        <v>0</v>
      </c>
      <c r="H720" s="33"/>
      <c r="I720" s="33"/>
      <c r="J720" s="33"/>
      <c r="K720" s="33"/>
      <c r="L720" s="33"/>
      <c r="M720" s="54">
        <f t="shared" si="274"/>
        <v>10</v>
      </c>
      <c r="N720" s="54"/>
      <c r="O720" s="54">
        <v>10</v>
      </c>
      <c r="P720" s="54"/>
      <c r="Q720" s="68">
        <f t="shared" si="275"/>
        <v>0</v>
      </c>
      <c r="R720" s="68">
        <v>0</v>
      </c>
      <c r="S720" s="68"/>
      <c r="T720" s="68"/>
      <c r="U720" s="129"/>
      <c r="V720" s="54">
        <f t="shared" si="276"/>
        <v>10</v>
      </c>
      <c r="W720" s="92" t="s">
        <v>506</v>
      </c>
    </row>
    <row r="721" s="4" customFormat="1" ht="26.25" customHeight="1" spans="1:23">
      <c r="A721" s="117">
        <v>602001</v>
      </c>
      <c r="B721" s="29" t="s">
        <v>2099</v>
      </c>
      <c r="C721" s="118" t="s">
        <v>2342</v>
      </c>
      <c r="D721" s="120" t="s">
        <v>2343</v>
      </c>
      <c r="E721" s="37" t="s">
        <v>3499</v>
      </c>
      <c r="F721" s="48" t="s">
        <v>3434</v>
      </c>
      <c r="G721" s="33">
        <f t="shared" si="273"/>
        <v>33.6</v>
      </c>
      <c r="H721" s="33">
        <v>33.6</v>
      </c>
      <c r="I721" s="33"/>
      <c r="J721" s="33"/>
      <c r="K721" s="33"/>
      <c r="L721" s="33"/>
      <c r="M721" s="54">
        <f t="shared" si="274"/>
        <v>0</v>
      </c>
      <c r="N721" s="54"/>
      <c r="O721" s="54"/>
      <c r="P721" s="54"/>
      <c r="Q721" s="68">
        <f t="shared" si="275"/>
        <v>0</v>
      </c>
      <c r="R721" s="68"/>
      <c r="S721" s="68"/>
      <c r="T721" s="68"/>
      <c r="U721" s="129"/>
      <c r="V721" s="70">
        <f t="shared" si="276"/>
        <v>33.6</v>
      </c>
      <c r="W721" s="130" t="s">
        <v>2283</v>
      </c>
    </row>
    <row r="722" s="4" customFormat="1" ht="26.25" customHeight="1" spans="1:23">
      <c r="A722" s="117">
        <v>602001</v>
      </c>
      <c r="B722" s="29" t="s">
        <v>2099</v>
      </c>
      <c r="C722" s="118" t="s">
        <v>2342</v>
      </c>
      <c r="D722" s="120" t="s">
        <v>2343</v>
      </c>
      <c r="E722" s="37" t="s">
        <v>3500</v>
      </c>
      <c r="F722" s="48" t="s">
        <v>3436</v>
      </c>
      <c r="G722" s="33">
        <f t="shared" si="273"/>
        <v>47.3</v>
      </c>
      <c r="H722" s="33">
        <v>47.3</v>
      </c>
      <c r="I722" s="33"/>
      <c r="J722" s="33"/>
      <c r="K722" s="33"/>
      <c r="L722" s="33"/>
      <c r="M722" s="54">
        <f t="shared" si="274"/>
        <v>0</v>
      </c>
      <c r="N722" s="54"/>
      <c r="O722" s="54"/>
      <c r="P722" s="54"/>
      <c r="Q722" s="68">
        <f t="shared" si="275"/>
        <v>0</v>
      </c>
      <c r="R722" s="68"/>
      <c r="S722" s="68"/>
      <c r="T722" s="68"/>
      <c r="U722" s="129"/>
      <c r="V722" s="70">
        <f t="shared" si="276"/>
        <v>47.3</v>
      </c>
      <c r="W722" s="130" t="s">
        <v>2283</v>
      </c>
    </row>
    <row r="723" s="4" customFormat="1" ht="26.25" customHeight="1" spans="1:23">
      <c r="A723" s="117">
        <v>602001</v>
      </c>
      <c r="B723" s="29" t="s">
        <v>2099</v>
      </c>
      <c r="C723" s="118" t="s">
        <v>2342</v>
      </c>
      <c r="D723" s="120" t="s">
        <v>2343</v>
      </c>
      <c r="E723" s="37" t="s">
        <v>3501</v>
      </c>
      <c r="F723" s="48" t="s">
        <v>3438</v>
      </c>
      <c r="G723" s="33">
        <f t="shared" si="273"/>
        <v>343</v>
      </c>
      <c r="H723" s="33">
        <v>343</v>
      </c>
      <c r="I723" s="33"/>
      <c r="J723" s="33"/>
      <c r="K723" s="33"/>
      <c r="L723" s="33"/>
      <c r="M723" s="54">
        <f t="shared" si="274"/>
        <v>0</v>
      </c>
      <c r="N723" s="54"/>
      <c r="O723" s="54"/>
      <c r="P723" s="54"/>
      <c r="Q723" s="68">
        <f t="shared" si="275"/>
        <v>0</v>
      </c>
      <c r="R723" s="68"/>
      <c r="S723" s="68"/>
      <c r="T723" s="68"/>
      <c r="U723" s="129"/>
      <c r="V723" s="70">
        <f t="shared" si="276"/>
        <v>343</v>
      </c>
      <c r="W723" s="130" t="s">
        <v>2283</v>
      </c>
    </row>
    <row r="724" s="4" customFormat="1" ht="26.25" customHeight="1" spans="1:23">
      <c r="A724" s="117">
        <v>602001</v>
      </c>
      <c r="B724" s="29" t="s">
        <v>2099</v>
      </c>
      <c r="C724" s="118" t="s">
        <v>3439</v>
      </c>
      <c r="D724" s="82" t="s">
        <v>3440</v>
      </c>
      <c r="E724" s="37" t="s">
        <v>3502</v>
      </c>
      <c r="F724" s="48" t="s">
        <v>3442</v>
      </c>
      <c r="G724" s="33">
        <f t="shared" si="273"/>
        <v>0.3</v>
      </c>
      <c r="H724" s="33"/>
      <c r="I724" s="33"/>
      <c r="J724" s="33">
        <v>0.3</v>
      </c>
      <c r="K724" s="33"/>
      <c r="L724" s="33"/>
      <c r="M724" s="54">
        <f t="shared" si="274"/>
        <v>-0.3</v>
      </c>
      <c r="N724" s="54">
        <v>-0.3</v>
      </c>
      <c r="O724" s="54"/>
      <c r="P724" s="54"/>
      <c r="Q724" s="68">
        <f t="shared" si="275"/>
        <v>0</v>
      </c>
      <c r="R724" s="68"/>
      <c r="S724" s="68"/>
      <c r="T724" s="68"/>
      <c r="U724" s="129"/>
      <c r="V724" s="54">
        <f t="shared" si="276"/>
        <v>0</v>
      </c>
      <c r="W724" s="92" t="s">
        <v>2283</v>
      </c>
    </row>
    <row r="725" s="4" customFormat="1" ht="26.25" customHeight="1" spans="1:23">
      <c r="A725" s="117">
        <v>602001</v>
      </c>
      <c r="B725" s="29" t="s">
        <v>2099</v>
      </c>
      <c r="C725" s="118" t="s">
        <v>3439</v>
      </c>
      <c r="D725" s="86" t="s">
        <v>3440</v>
      </c>
      <c r="E725" s="37" t="s">
        <v>3502</v>
      </c>
      <c r="F725" s="86" t="s">
        <v>3442</v>
      </c>
      <c r="G725" s="33">
        <f t="shared" si="273"/>
        <v>0</v>
      </c>
      <c r="H725" s="33"/>
      <c r="I725" s="33"/>
      <c r="J725" s="33"/>
      <c r="K725" s="33"/>
      <c r="L725" s="33"/>
      <c r="M725" s="54">
        <f t="shared" si="274"/>
        <v>0</v>
      </c>
      <c r="N725" s="54"/>
      <c r="O725" s="54"/>
      <c r="P725" s="54"/>
      <c r="Q725" s="68">
        <f t="shared" si="275"/>
        <v>0.3</v>
      </c>
      <c r="R725" s="68"/>
      <c r="S725" s="68">
        <v>0.3</v>
      </c>
      <c r="T725" s="68"/>
      <c r="U725" s="129"/>
      <c r="V725" s="68">
        <f t="shared" si="276"/>
        <v>0.3</v>
      </c>
      <c r="W725" s="91" t="s">
        <v>3444</v>
      </c>
    </row>
    <row r="726" s="4" customFormat="1" ht="26.25" customHeight="1" spans="1:23">
      <c r="A726" s="117">
        <v>602001</v>
      </c>
      <c r="B726" s="29" t="s">
        <v>2099</v>
      </c>
      <c r="C726" s="118" t="s">
        <v>3307</v>
      </c>
      <c r="D726" s="120" t="s">
        <v>3308</v>
      </c>
      <c r="E726" s="37" t="s">
        <v>3503</v>
      </c>
      <c r="F726" s="32" t="s">
        <v>3446</v>
      </c>
      <c r="G726" s="33">
        <f t="shared" si="273"/>
        <v>42</v>
      </c>
      <c r="H726" s="33">
        <v>42</v>
      </c>
      <c r="I726" s="33"/>
      <c r="J726" s="33"/>
      <c r="K726" s="33"/>
      <c r="L726" s="33"/>
      <c r="M726" s="54">
        <f t="shared" si="274"/>
        <v>0</v>
      </c>
      <c r="N726" s="54"/>
      <c r="O726" s="54"/>
      <c r="P726" s="54"/>
      <c r="Q726" s="68">
        <f t="shared" si="275"/>
        <v>0</v>
      </c>
      <c r="R726" s="68"/>
      <c r="S726" s="68"/>
      <c r="T726" s="68"/>
      <c r="U726" s="129"/>
      <c r="V726" s="70">
        <f t="shared" si="276"/>
        <v>42</v>
      </c>
      <c r="W726" s="130" t="s">
        <v>2283</v>
      </c>
    </row>
    <row r="727" s="4" customFormat="1" ht="26.25" customHeight="1" spans="1:23">
      <c r="A727" s="117">
        <v>602001</v>
      </c>
      <c r="B727" s="29" t="s">
        <v>2099</v>
      </c>
      <c r="C727" s="118" t="s">
        <v>2412</v>
      </c>
      <c r="D727" s="119" t="s">
        <v>2310</v>
      </c>
      <c r="E727" s="37" t="s">
        <v>3504</v>
      </c>
      <c r="F727" s="32" t="s">
        <v>3448</v>
      </c>
      <c r="G727" s="33">
        <f t="shared" si="273"/>
        <v>6</v>
      </c>
      <c r="H727" s="33">
        <v>6</v>
      </c>
      <c r="I727" s="33"/>
      <c r="J727" s="33"/>
      <c r="K727" s="33"/>
      <c r="L727" s="33"/>
      <c r="M727" s="54">
        <f t="shared" si="274"/>
        <v>0</v>
      </c>
      <c r="N727" s="54"/>
      <c r="O727" s="54"/>
      <c r="P727" s="54"/>
      <c r="Q727" s="68">
        <f t="shared" si="275"/>
        <v>0</v>
      </c>
      <c r="R727" s="68"/>
      <c r="S727" s="68"/>
      <c r="T727" s="68"/>
      <c r="U727" s="129"/>
      <c r="V727" s="33">
        <f t="shared" si="276"/>
        <v>6</v>
      </c>
      <c r="W727" s="130" t="s">
        <v>2283</v>
      </c>
    </row>
    <row r="728" s="4" customFormat="1" ht="26.25" customHeight="1" spans="1:23">
      <c r="A728" s="117">
        <v>602001</v>
      </c>
      <c r="B728" s="29" t="s">
        <v>2099</v>
      </c>
      <c r="C728" s="118" t="s">
        <v>2412</v>
      </c>
      <c r="D728" s="119" t="s">
        <v>2310</v>
      </c>
      <c r="E728" s="30" t="s">
        <v>3505</v>
      </c>
      <c r="F728" s="32" t="s">
        <v>3452</v>
      </c>
      <c r="G728" s="33">
        <f t="shared" si="273"/>
        <v>4.5</v>
      </c>
      <c r="H728" s="33">
        <v>4.5</v>
      </c>
      <c r="I728" s="33"/>
      <c r="J728" s="33"/>
      <c r="K728" s="33"/>
      <c r="L728" s="33"/>
      <c r="M728" s="54">
        <f t="shared" si="274"/>
        <v>0</v>
      </c>
      <c r="N728" s="54"/>
      <c r="O728" s="54"/>
      <c r="P728" s="54"/>
      <c r="Q728" s="68">
        <f t="shared" si="275"/>
        <v>0</v>
      </c>
      <c r="R728" s="68"/>
      <c r="S728" s="68"/>
      <c r="T728" s="68"/>
      <c r="U728" s="129"/>
      <c r="V728" s="33">
        <f t="shared" si="276"/>
        <v>4.5</v>
      </c>
      <c r="W728" s="130" t="s">
        <v>2283</v>
      </c>
    </row>
    <row r="729" s="4" customFormat="1" ht="26.25" customHeight="1" spans="1:23">
      <c r="A729" s="117">
        <v>602001</v>
      </c>
      <c r="B729" s="29" t="s">
        <v>2099</v>
      </c>
      <c r="C729" s="118">
        <v>2130119</v>
      </c>
      <c r="D729" s="86"/>
      <c r="E729" s="127"/>
      <c r="F729" s="38" t="s">
        <v>3506</v>
      </c>
      <c r="G729" s="33">
        <f t="shared" si="273"/>
        <v>0</v>
      </c>
      <c r="H729" s="33"/>
      <c r="I729" s="33"/>
      <c r="J729" s="33"/>
      <c r="K729" s="33"/>
      <c r="L729" s="33"/>
      <c r="M729" s="54">
        <f t="shared" si="274"/>
        <v>0</v>
      </c>
      <c r="N729" s="54"/>
      <c r="O729" s="54"/>
      <c r="P729" s="54"/>
      <c r="Q729" s="68">
        <f t="shared" si="275"/>
        <v>1</v>
      </c>
      <c r="R729" s="68">
        <v>0</v>
      </c>
      <c r="S729" s="68">
        <v>1</v>
      </c>
      <c r="T729" s="68"/>
      <c r="U729" s="129"/>
      <c r="V729" s="68">
        <f t="shared" si="276"/>
        <v>1</v>
      </c>
      <c r="W729" s="142" t="s">
        <v>3507</v>
      </c>
    </row>
    <row r="730" s="4" customFormat="1" ht="26.25" customHeight="1" spans="1:23">
      <c r="A730" s="117">
        <v>602001</v>
      </c>
      <c r="B730" s="29" t="s">
        <v>2099</v>
      </c>
      <c r="C730" s="118">
        <v>2130119</v>
      </c>
      <c r="D730" s="86"/>
      <c r="E730" s="127"/>
      <c r="F730" s="38" t="s">
        <v>3508</v>
      </c>
      <c r="G730" s="33">
        <f t="shared" si="273"/>
        <v>0</v>
      </c>
      <c r="H730" s="33"/>
      <c r="I730" s="33"/>
      <c r="J730" s="33"/>
      <c r="K730" s="33"/>
      <c r="L730" s="33"/>
      <c r="M730" s="54">
        <f t="shared" si="274"/>
        <v>0</v>
      </c>
      <c r="N730" s="54"/>
      <c r="O730" s="54"/>
      <c r="P730" s="54"/>
      <c r="Q730" s="68">
        <f t="shared" si="275"/>
        <v>7</v>
      </c>
      <c r="R730" s="68">
        <v>0</v>
      </c>
      <c r="S730" s="68">
        <v>7</v>
      </c>
      <c r="T730" s="68"/>
      <c r="U730" s="129"/>
      <c r="V730" s="68">
        <f t="shared" si="276"/>
        <v>7</v>
      </c>
      <c r="W730" s="142" t="s">
        <v>3509</v>
      </c>
    </row>
    <row r="731" s="4" customFormat="1" ht="26.25" customHeight="1" spans="1:23">
      <c r="A731" s="115">
        <v>603001</v>
      </c>
      <c r="B731" s="23" t="s">
        <v>1388</v>
      </c>
      <c r="C731" s="116"/>
      <c r="D731" s="116"/>
      <c r="E731" s="84"/>
      <c r="F731" s="26"/>
      <c r="G731" s="27">
        <f t="shared" ref="G731:V731" si="277">SUM(G732:G780)</f>
        <v>2502.37</v>
      </c>
      <c r="H731" s="27">
        <f t="shared" si="277"/>
        <v>2493.37</v>
      </c>
      <c r="I731" s="27">
        <f t="shared" si="277"/>
        <v>0</v>
      </c>
      <c r="J731" s="27">
        <f t="shared" si="277"/>
        <v>9</v>
      </c>
      <c r="K731" s="27">
        <f t="shared" si="277"/>
        <v>137</v>
      </c>
      <c r="L731" s="27">
        <f t="shared" si="277"/>
        <v>166.93</v>
      </c>
      <c r="M731" s="27">
        <f t="shared" si="277"/>
        <v>54</v>
      </c>
      <c r="N731" s="27">
        <f t="shared" si="277"/>
        <v>-9</v>
      </c>
      <c r="O731" s="27">
        <f t="shared" si="277"/>
        <v>63</v>
      </c>
      <c r="P731" s="27">
        <f t="shared" si="277"/>
        <v>0</v>
      </c>
      <c r="Q731" s="27">
        <f t="shared" si="277"/>
        <v>413.601508</v>
      </c>
      <c r="R731" s="27">
        <f t="shared" si="277"/>
        <v>373.554363</v>
      </c>
      <c r="S731" s="27">
        <f t="shared" si="277"/>
        <v>40.047145</v>
      </c>
      <c r="T731" s="27">
        <f t="shared" si="277"/>
        <v>0</v>
      </c>
      <c r="U731" s="27">
        <f t="shared" si="277"/>
        <v>504.5</v>
      </c>
      <c r="V731" s="27">
        <f t="shared" si="277"/>
        <v>2769.401508</v>
      </c>
      <c r="W731" s="67"/>
    </row>
    <row r="732" s="4" customFormat="1" ht="26.25" customHeight="1" spans="1:23">
      <c r="A732" s="117">
        <v>603001</v>
      </c>
      <c r="B732" s="29" t="s">
        <v>2111</v>
      </c>
      <c r="C732" s="118" t="s">
        <v>3382</v>
      </c>
      <c r="D732" s="119" t="s">
        <v>3383</v>
      </c>
      <c r="E732" s="30" t="s">
        <v>3510</v>
      </c>
      <c r="F732" s="32" t="s">
        <v>3385</v>
      </c>
      <c r="G732" s="33">
        <f t="shared" ref="G732:G780" si="278">SUM(H732:J732)</f>
        <v>5</v>
      </c>
      <c r="H732" s="33">
        <v>5</v>
      </c>
      <c r="I732" s="33"/>
      <c r="J732" s="33"/>
      <c r="K732" s="33"/>
      <c r="L732" s="33"/>
      <c r="M732" s="54">
        <f t="shared" ref="M732:M780" si="279">N732+O732-P732</f>
        <v>0</v>
      </c>
      <c r="N732" s="54"/>
      <c r="O732" s="54"/>
      <c r="P732" s="54"/>
      <c r="Q732" s="68">
        <f t="shared" ref="Q732:Q780" si="280">R732+S732-T732</f>
        <v>0</v>
      </c>
      <c r="R732" s="68"/>
      <c r="S732" s="68"/>
      <c r="T732" s="68"/>
      <c r="U732" s="129"/>
      <c r="V732" s="33">
        <f t="shared" ref="V732:V780" si="281">G732+K732+L732+M732+Q732-U732</f>
        <v>5</v>
      </c>
      <c r="W732" s="130" t="s">
        <v>2283</v>
      </c>
    </row>
    <row r="733" s="4" customFormat="1" ht="26.25" customHeight="1" spans="1:23">
      <c r="A733" s="117">
        <v>603001</v>
      </c>
      <c r="B733" s="29" t="s">
        <v>2111</v>
      </c>
      <c r="C733" s="35" t="s">
        <v>1438</v>
      </c>
      <c r="D733" s="40" t="s">
        <v>1439</v>
      </c>
      <c r="E733" s="30" t="s">
        <v>3511</v>
      </c>
      <c r="F733" s="32" t="s">
        <v>1087</v>
      </c>
      <c r="G733" s="33">
        <f t="shared" si="278"/>
        <v>0</v>
      </c>
      <c r="H733" s="33"/>
      <c r="I733" s="33"/>
      <c r="J733" s="33"/>
      <c r="K733" s="55">
        <v>75</v>
      </c>
      <c r="L733" s="33">
        <v>30</v>
      </c>
      <c r="M733" s="54">
        <f t="shared" si="279"/>
        <v>0</v>
      </c>
      <c r="N733" s="54"/>
      <c r="O733" s="54"/>
      <c r="P733" s="54"/>
      <c r="Q733" s="68">
        <f t="shared" si="280"/>
        <v>0</v>
      </c>
      <c r="R733" s="68"/>
      <c r="S733" s="68"/>
      <c r="T733" s="68"/>
      <c r="U733" s="129"/>
      <c r="V733" s="33">
        <f t="shared" si="281"/>
        <v>105</v>
      </c>
      <c r="W733" s="130" t="s">
        <v>2283</v>
      </c>
    </row>
    <row r="734" s="4" customFormat="1" ht="26.25" customHeight="1" spans="1:23">
      <c r="A734" s="117">
        <v>603001</v>
      </c>
      <c r="B734" s="29" t="s">
        <v>2111</v>
      </c>
      <c r="C734" s="118" t="s">
        <v>2280</v>
      </c>
      <c r="D734" s="86" t="s">
        <v>2083</v>
      </c>
      <c r="E734" s="121" t="s">
        <v>3512</v>
      </c>
      <c r="F734" s="38" t="s">
        <v>3513</v>
      </c>
      <c r="G734" s="33">
        <f t="shared" si="278"/>
        <v>0</v>
      </c>
      <c r="H734" s="33"/>
      <c r="I734" s="33"/>
      <c r="J734" s="33"/>
      <c r="K734" s="33"/>
      <c r="L734" s="33"/>
      <c r="M734" s="54">
        <f t="shared" si="279"/>
        <v>0</v>
      </c>
      <c r="N734" s="54"/>
      <c r="O734" s="54"/>
      <c r="P734" s="54"/>
      <c r="Q734" s="68">
        <f t="shared" si="280"/>
        <v>22</v>
      </c>
      <c r="R734" s="68">
        <v>22</v>
      </c>
      <c r="S734" s="68"/>
      <c r="T734" s="68"/>
      <c r="U734" s="129"/>
      <c r="V734" s="68">
        <f t="shared" si="281"/>
        <v>22</v>
      </c>
      <c r="W734" s="91" t="s">
        <v>2498</v>
      </c>
    </row>
    <row r="735" s="4" customFormat="1" ht="26.25" customHeight="1" spans="1:23">
      <c r="A735" s="117">
        <v>603001</v>
      </c>
      <c r="B735" s="29" t="s">
        <v>2111</v>
      </c>
      <c r="C735" s="35" t="s">
        <v>2280</v>
      </c>
      <c r="D735" s="38" t="s">
        <v>2083</v>
      </c>
      <c r="E735" s="121" t="s">
        <v>3514</v>
      </c>
      <c r="F735" s="38" t="s">
        <v>3515</v>
      </c>
      <c r="G735" s="33">
        <f t="shared" si="278"/>
        <v>0</v>
      </c>
      <c r="H735" s="33"/>
      <c r="I735" s="33"/>
      <c r="J735" s="33"/>
      <c r="K735" s="33"/>
      <c r="L735" s="33"/>
      <c r="M735" s="54">
        <f t="shared" si="279"/>
        <v>0</v>
      </c>
      <c r="N735" s="54"/>
      <c r="O735" s="54"/>
      <c r="P735" s="54"/>
      <c r="Q735" s="68">
        <f t="shared" si="280"/>
        <v>2.188305</v>
      </c>
      <c r="R735" s="68"/>
      <c r="S735" s="68">
        <v>2.188305</v>
      </c>
      <c r="T735" s="68"/>
      <c r="U735" s="129"/>
      <c r="V735" s="68">
        <f t="shared" si="281"/>
        <v>2.188305</v>
      </c>
      <c r="W735" s="91" t="s">
        <v>3516</v>
      </c>
    </row>
    <row r="736" s="4" customFormat="1" ht="26.25" customHeight="1" spans="1:23">
      <c r="A736" s="117">
        <v>603001</v>
      </c>
      <c r="B736" s="29" t="s">
        <v>2111</v>
      </c>
      <c r="C736" s="118" t="s">
        <v>2280</v>
      </c>
      <c r="D736" s="119" t="s">
        <v>2083</v>
      </c>
      <c r="E736" s="30" t="s">
        <v>3517</v>
      </c>
      <c r="F736" s="32" t="s">
        <v>3394</v>
      </c>
      <c r="G736" s="33">
        <f t="shared" si="278"/>
        <v>2.4</v>
      </c>
      <c r="H736" s="33">
        <v>2.4</v>
      </c>
      <c r="I736" s="33"/>
      <c r="J736" s="33"/>
      <c r="K736" s="33"/>
      <c r="L736" s="33"/>
      <c r="M736" s="54">
        <f t="shared" si="279"/>
        <v>0</v>
      </c>
      <c r="N736" s="54"/>
      <c r="O736" s="54"/>
      <c r="P736" s="54"/>
      <c r="Q736" s="68">
        <f t="shared" si="280"/>
        <v>0</v>
      </c>
      <c r="R736" s="68"/>
      <c r="S736" s="68"/>
      <c r="T736" s="68"/>
      <c r="U736" s="129"/>
      <c r="V736" s="33">
        <f t="shared" si="281"/>
        <v>2.4</v>
      </c>
      <c r="W736" s="130" t="s">
        <v>2283</v>
      </c>
    </row>
    <row r="737" s="4" customFormat="1" ht="26.25" customHeight="1" spans="1:23">
      <c r="A737" s="117">
        <v>603001</v>
      </c>
      <c r="B737" s="29" t="s">
        <v>2111</v>
      </c>
      <c r="C737" s="118" t="s">
        <v>2280</v>
      </c>
      <c r="D737" s="119" t="s">
        <v>2083</v>
      </c>
      <c r="E737" s="30" t="s">
        <v>3518</v>
      </c>
      <c r="F737" s="32" t="s">
        <v>3388</v>
      </c>
      <c r="G737" s="33">
        <f t="shared" si="278"/>
        <v>10</v>
      </c>
      <c r="H737" s="33">
        <v>10</v>
      </c>
      <c r="I737" s="33"/>
      <c r="J737" s="33"/>
      <c r="K737" s="33"/>
      <c r="L737" s="33"/>
      <c r="M737" s="54">
        <f t="shared" si="279"/>
        <v>0</v>
      </c>
      <c r="N737" s="54"/>
      <c r="O737" s="54"/>
      <c r="P737" s="54"/>
      <c r="Q737" s="68">
        <f t="shared" si="280"/>
        <v>0</v>
      </c>
      <c r="R737" s="68"/>
      <c r="S737" s="68"/>
      <c r="T737" s="68"/>
      <c r="U737" s="129">
        <v>1</v>
      </c>
      <c r="V737" s="33">
        <f t="shared" si="281"/>
        <v>9</v>
      </c>
      <c r="W737" s="130" t="s">
        <v>2283</v>
      </c>
    </row>
    <row r="738" s="4" customFormat="1" ht="26.25" customHeight="1" spans="1:23">
      <c r="A738" s="117">
        <v>603001</v>
      </c>
      <c r="B738" s="29" t="s">
        <v>2111</v>
      </c>
      <c r="C738" s="118" t="s">
        <v>2280</v>
      </c>
      <c r="D738" s="119" t="s">
        <v>2083</v>
      </c>
      <c r="E738" s="30" t="s">
        <v>3519</v>
      </c>
      <c r="F738" s="32" t="s">
        <v>3513</v>
      </c>
      <c r="G738" s="33">
        <f t="shared" si="278"/>
        <v>47.1</v>
      </c>
      <c r="H738" s="33">
        <v>47.1</v>
      </c>
      <c r="I738" s="33"/>
      <c r="J738" s="33"/>
      <c r="K738" s="33"/>
      <c r="L738" s="33"/>
      <c r="M738" s="54">
        <f t="shared" si="279"/>
        <v>0</v>
      </c>
      <c r="N738" s="54"/>
      <c r="O738" s="54"/>
      <c r="P738" s="54"/>
      <c r="Q738" s="68">
        <f t="shared" si="280"/>
        <v>0</v>
      </c>
      <c r="R738" s="68"/>
      <c r="S738" s="68"/>
      <c r="T738" s="68"/>
      <c r="U738" s="129"/>
      <c r="V738" s="33">
        <f t="shared" si="281"/>
        <v>47.1</v>
      </c>
      <c r="W738" s="130" t="s">
        <v>2283</v>
      </c>
    </row>
    <row r="739" s="4" customFormat="1" ht="26.25" customHeight="1" spans="1:23">
      <c r="A739" s="117">
        <v>603001</v>
      </c>
      <c r="B739" s="29" t="s">
        <v>2111</v>
      </c>
      <c r="C739" s="118" t="s">
        <v>2280</v>
      </c>
      <c r="D739" s="119" t="s">
        <v>2083</v>
      </c>
      <c r="E739" s="30" t="s">
        <v>3520</v>
      </c>
      <c r="F739" s="32" t="s">
        <v>2305</v>
      </c>
      <c r="G739" s="33">
        <f t="shared" si="278"/>
        <v>24</v>
      </c>
      <c r="H739" s="33">
        <v>24</v>
      </c>
      <c r="I739" s="33"/>
      <c r="J739" s="33"/>
      <c r="K739" s="33"/>
      <c r="L739" s="33"/>
      <c r="M739" s="54">
        <f t="shared" si="279"/>
        <v>0</v>
      </c>
      <c r="N739" s="54"/>
      <c r="O739" s="54"/>
      <c r="P739" s="54"/>
      <c r="Q739" s="68">
        <f t="shared" si="280"/>
        <v>0</v>
      </c>
      <c r="R739" s="68"/>
      <c r="S739" s="68"/>
      <c r="T739" s="68"/>
      <c r="U739" s="129"/>
      <c r="V739" s="33">
        <f t="shared" si="281"/>
        <v>24</v>
      </c>
      <c r="W739" s="130" t="s">
        <v>2283</v>
      </c>
    </row>
    <row r="740" s="4" customFormat="1" ht="26.25" customHeight="1" spans="1:23">
      <c r="A740" s="117">
        <v>603001</v>
      </c>
      <c r="B740" s="29" t="s">
        <v>2111</v>
      </c>
      <c r="C740" s="118" t="s">
        <v>2280</v>
      </c>
      <c r="D740" s="120" t="s">
        <v>2083</v>
      </c>
      <c r="E740" s="37" t="s">
        <v>3521</v>
      </c>
      <c r="F740" s="32" t="s">
        <v>3396</v>
      </c>
      <c r="G740" s="33">
        <f t="shared" si="278"/>
        <v>17.1</v>
      </c>
      <c r="H740" s="33">
        <v>17.1</v>
      </c>
      <c r="I740" s="33"/>
      <c r="J740" s="33"/>
      <c r="K740" s="33"/>
      <c r="L740" s="33"/>
      <c r="M740" s="54">
        <f t="shared" si="279"/>
        <v>0</v>
      </c>
      <c r="N740" s="54"/>
      <c r="O740" s="54"/>
      <c r="P740" s="54"/>
      <c r="Q740" s="68">
        <f t="shared" si="280"/>
        <v>0</v>
      </c>
      <c r="R740" s="68"/>
      <c r="S740" s="68"/>
      <c r="T740" s="68"/>
      <c r="U740" s="129">
        <v>3</v>
      </c>
      <c r="V740" s="70">
        <f t="shared" si="281"/>
        <v>14.1</v>
      </c>
      <c r="W740" s="130" t="s">
        <v>2283</v>
      </c>
    </row>
    <row r="741" s="4" customFormat="1" ht="26.25" customHeight="1" spans="1:23">
      <c r="A741" s="117">
        <v>603001</v>
      </c>
      <c r="B741" s="29" t="s">
        <v>2111</v>
      </c>
      <c r="C741" s="118" t="s">
        <v>2280</v>
      </c>
      <c r="D741" s="119" t="s">
        <v>2083</v>
      </c>
      <c r="E741" s="30" t="s">
        <v>3522</v>
      </c>
      <c r="F741" s="32" t="s">
        <v>2288</v>
      </c>
      <c r="G741" s="33">
        <f t="shared" si="278"/>
        <v>2.4</v>
      </c>
      <c r="H741" s="33">
        <v>2.4</v>
      </c>
      <c r="I741" s="33"/>
      <c r="J741" s="33"/>
      <c r="K741" s="33"/>
      <c r="L741" s="33"/>
      <c r="M741" s="54">
        <f t="shared" si="279"/>
        <v>0</v>
      </c>
      <c r="N741" s="54"/>
      <c r="O741" s="54"/>
      <c r="P741" s="54"/>
      <c r="Q741" s="68">
        <f t="shared" si="280"/>
        <v>0</v>
      </c>
      <c r="R741" s="68"/>
      <c r="S741" s="68"/>
      <c r="T741" s="68"/>
      <c r="U741" s="129"/>
      <c r="V741" s="33">
        <f t="shared" si="281"/>
        <v>2.4</v>
      </c>
      <c r="W741" s="130" t="s">
        <v>2283</v>
      </c>
    </row>
    <row r="742" s="4" customFormat="1" ht="26.25" customHeight="1" spans="1:23">
      <c r="A742" s="117">
        <v>603001</v>
      </c>
      <c r="B742" s="29" t="s">
        <v>2111</v>
      </c>
      <c r="C742" s="118" t="s">
        <v>2280</v>
      </c>
      <c r="D742" s="119" t="s">
        <v>2083</v>
      </c>
      <c r="E742" s="30" t="s">
        <v>3523</v>
      </c>
      <c r="F742" s="32" t="s">
        <v>933</v>
      </c>
      <c r="G742" s="33">
        <f t="shared" si="278"/>
        <v>5</v>
      </c>
      <c r="H742" s="33">
        <v>5</v>
      </c>
      <c r="I742" s="33"/>
      <c r="J742" s="33"/>
      <c r="K742" s="33"/>
      <c r="L742" s="33"/>
      <c r="M742" s="54">
        <f t="shared" si="279"/>
        <v>0</v>
      </c>
      <c r="N742" s="54"/>
      <c r="O742" s="54"/>
      <c r="P742" s="54"/>
      <c r="Q742" s="68">
        <f t="shared" si="280"/>
        <v>0</v>
      </c>
      <c r="R742" s="68"/>
      <c r="S742" s="68"/>
      <c r="T742" s="68"/>
      <c r="U742" s="129"/>
      <c r="V742" s="33">
        <f t="shared" si="281"/>
        <v>5</v>
      </c>
      <c r="W742" s="130" t="s">
        <v>2283</v>
      </c>
    </row>
    <row r="743" s="4" customFormat="1" ht="26.25" customHeight="1" spans="1:23">
      <c r="A743" s="117">
        <v>603001</v>
      </c>
      <c r="B743" s="29" t="s">
        <v>2111</v>
      </c>
      <c r="C743" s="118" t="s">
        <v>2307</v>
      </c>
      <c r="D743" s="119" t="s">
        <v>2308</v>
      </c>
      <c r="E743" s="30" t="s">
        <v>3524</v>
      </c>
      <c r="F743" s="32" t="s">
        <v>1037</v>
      </c>
      <c r="G743" s="33">
        <f t="shared" si="278"/>
        <v>5</v>
      </c>
      <c r="H743" s="33">
        <v>5</v>
      </c>
      <c r="I743" s="33"/>
      <c r="J743" s="33"/>
      <c r="K743" s="33"/>
      <c r="L743" s="33"/>
      <c r="M743" s="54">
        <f t="shared" si="279"/>
        <v>0</v>
      </c>
      <c r="N743" s="54"/>
      <c r="O743" s="54"/>
      <c r="P743" s="54"/>
      <c r="Q743" s="68">
        <f t="shared" si="280"/>
        <v>0</v>
      </c>
      <c r="R743" s="68"/>
      <c r="S743" s="68"/>
      <c r="T743" s="68"/>
      <c r="U743" s="129">
        <v>0.5</v>
      </c>
      <c r="V743" s="33">
        <f t="shared" si="281"/>
        <v>4.5</v>
      </c>
      <c r="W743" s="130" t="s">
        <v>2283</v>
      </c>
    </row>
    <row r="744" s="4" customFormat="1" ht="26.25" customHeight="1" spans="1:23">
      <c r="A744" s="117">
        <v>603001</v>
      </c>
      <c r="B744" s="29" t="s">
        <v>2111</v>
      </c>
      <c r="C744" s="118" t="s">
        <v>3112</v>
      </c>
      <c r="D744" s="86" t="s">
        <v>3113</v>
      </c>
      <c r="E744" s="127" t="s">
        <v>3525</v>
      </c>
      <c r="F744" s="38" t="s">
        <v>3404</v>
      </c>
      <c r="G744" s="33">
        <f t="shared" si="278"/>
        <v>0</v>
      </c>
      <c r="H744" s="33"/>
      <c r="I744" s="33"/>
      <c r="J744" s="33"/>
      <c r="K744" s="33"/>
      <c r="L744" s="33"/>
      <c r="M744" s="54">
        <f t="shared" si="279"/>
        <v>0</v>
      </c>
      <c r="N744" s="54"/>
      <c r="O744" s="54"/>
      <c r="P744" s="54"/>
      <c r="Q744" s="68">
        <f t="shared" si="280"/>
        <v>1.7552</v>
      </c>
      <c r="R744" s="68">
        <v>1.7552</v>
      </c>
      <c r="S744" s="68"/>
      <c r="T744" s="68"/>
      <c r="U744" s="129"/>
      <c r="V744" s="68">
        <f t="shared" si="281"/>
        <v>1.7552</v>
      </c>
      <c r="W744" s="91" t="s">
        <v>2498</v>
      </c>
    </row>
    <row r="745" s="4" customFormat="1" ht="26.25" customHeight="1" spans="1:23">
      <c r="A745" s="117">
        <v>603001</v>
      </c>
      <c r="B745" s="29" t="s">
        <v>2111</v>
      </c>
      <c r="C745" s="118" t="s">
        <v>3112</v>
      </c>
      <c r="D745" s="86" t="s">
        <v>3113</v>
      </c>
      <c r="E745" s="127" t="s">
        <v>3526</v>
      </c>
      <c r="F745" s="38" t="s">
        <v>3527</v>
      </c>
      <c r="G745" s="33">
        <f t="shared" si="278"/>
        <v>0</v>
      </c>
      <c r="H745" s="33"/>
      <c r="I745" s="33"/>
      <c r="J745" s="33"/>
      <c r="K745" s="33"/>
      <c r="L745" s="33"/>
      <c r="M745" s="54">
        <f t="shared" si="279"/>
        <v>0</v>
      </c>
      <c r="N745" s="54"/>
      <c r="O745" s="54"/>
      <c r="P745" s="54"/>
      <c r="Q745" s="68">
        <f t="shared" si="280"/>
        <v>3.8</v>
      </c>
      <c r="R745" s="68">
        <v>3.8</v>
      </c>
      <c r="S745" s="68"/>
      <c r="T745" s="68"/>
      <c r="U745" s="129"/>
      <c r="V745" s="68">
        <f t="shared" si="281"/>
        <v>3.8</v>
      </c>
      <c r="W745" s="91" t="s">
        <v>2498</v>
      </c>
    </row>
    <row r="746" s="4" customFormat="1" ht="26.25" customHeight="1" spans="1:23">
      <c r="A746" s="117">
        <v>603001</v>
      </c>
      <c r="B746" s="29" t="s">
        <v>2111</v>
      </c>
      <c r="C746" s="118" t="s">
        <v>3112</v>
      </c>
      <c r="D746" s="120" t="s">
        <v>3113</v>
      </c>
      <c r="E746" s="37" t="s">
        <v>3528</v>
      </c>
      <c r="F746" s="32" t="s">
        <v>3404</v>
      </c>
      <c r="G746" s="33">
        <f t="shared" si="278"/>
        <v>4.59</v>
      </c>
      <c r="H746" s="33">
        <v>4.59</v>
      </c>
      <c r="I746" s="33"/>
      <c r="J746" s="33"/>
      <c r="K746" s="33"/>
      <c r="L746" s="33"/>
      <c r="M746" s="54">
        <f t="shared" si="279"/>
        <v>0</v>
      </c>
      <c r="N746" s="54"/>
      <c r="O746" s="54"/>
      <c r="P746" s="54"/>
      <c r="Q746" s="68">
        <f t="shared" si="280"/>
        <v>0</v>
      </c>
      <c r="R746" s="68"/>
      <c r="S746" s="68"/>
      <c r="T746" s="68"/>
      <c r="U746" s="129"/>
      <c r="V746" s="70">
        <f t="shared" si="281"/>
        <v>4.59</v>
      </c>
      <c r="W746" s="130" t="s">
        <v>2283</v>
      </c>
    </row>
    <row r="747" s="4" customFormat="1" ht="26.25" customHeight="1" spans="1:23">
      <c r="A747" s="117">
        <v>603001</v>
      </c>
      <c r="B747" s="29" t="s">
        <v>2111</v>
      </c>
      <c r="C747" s="118">
        <v>2070801</v>
      </c>
      <c r="D747" s="82" t="s">
        <v>3406</v>
      </c>
      <c r="E747" s="37" t="s">
        <v>3529</v>
      </c>
      <c r="F747" s="32" t="s">
        <v>3412</v>
      </c>
      <c r="G747" s="33">
        <f t="shared" si="278"/>
        <v>0</v>
      </c>
      <c r="H747" s="33"/>
      <c r="I747" s="33"/>
      <c r="J747" s="33"/>
      <c r="K747" s="33"/>
      <c r="L747" s="33"/>
      <c r="M747" s="54">
        <f t="shared" si="279"/>
        <v>1.2</v>
      </c>
      <c r="N747" s="54"/>
      <c r="O747" s="54">
        <v>1.2</v>
      </c>
      <c r="P747" s="54"/>
      <c r="Q747" s="68">
        <f t="shared" si="280"/>
        <v>0</v>
      </c>
      <c r="R747" s="68"/>
      <c r="S747" s="68"/>
      <c r="T747" s="68"/>
      <c r="U747" s="129"/>
      <c r="V747" s="54">
        <f t="shared" si="281"/>
        <v>1.2</v>
      </c>
      <c r="W747" s="92" t="s">
        <v>653</v>
      </c>
    </row>
    <row r="748" s="4" customFormat="1" ht="26.25" customHeight="1" spans="1:23">
      <c r="A748" s="117">
        <v>603001</v>
      </c>
      <c r="B748" s="29" t="s">
        <v>2111</v>
      </c>
      <c r="C748" s="118" t="s">
        <v>3405</v>
      </c>
      <c r="D748" s="86" t="s">
        <v>3406</v>
      </c>
      <c r="E748" s="127" t="s">
        <v>3530</v>
      </c>
      <c r="F748" s="38" t="s">
        <v>3408</v>
      </c>
      <c r="G748" s="33">
        <f t="shared" si="278"/>
        <v>0</v>
      </c>
      <c r="H748" s="33"/>
      <c r="I748" s="33"/>
      <c r="J748" s="33"/>
      <c r="K748" s="33"/>
      <c r="L748" s="33"/>
      <c r="M748" s="54">
        <f t="shared" si="279"/>
        <v>0</v>
      </c>
      <c r="N748" s="54"/>
      <c r="O748" s="54"/>
      <c r="P748" s="54"/>
      <c r="Q748" s="68">
        <f t="shared" si="280"/>
        <v>5.13884</v>
      </c>
      <c r="R748" s="68"/>
      <c r="S748" s="68">
        <v>5.13884</v>
      </c>
      <c r="T748" s="68"/>
      <c r="U748" s="129"/>
      <c r="V748" s="68">
        <f t="shared" si="281"/>
        <v>5.13884</v>
      </c>
      <c r="W748" s="131" t="s">
        <v>3409</v>
      </c>
    </row>
    <row r="749" s="4" customFormat="1" ht="26.25" customHeight="1" spans="1:23">
      <c r="A749" s="117">
        <v>603001</v>
      </c>
      <c r="B749" s="29" t="s">
        <v>2111</v>
      </c>
      <c r="C749" s="118" t="s">
        <v>3405</v>
      </c>
      <c r="D749" s="120" t="s">
        <v>3406</v>
      </c>
      <c r="E749" s="37" t="s">
        <v>3531</v>
      </c>
      <c r="F749" s="32" t="s">
        <v>3408</v>
      </c>
      <c r="G749" s="33">
        <f t="shared" si="278"/>
        <v>5</v>
      </c>
      <c r="H749" s="33">
        <v>5</v>
      </c>
      <c r="I749" s="33"/>
      <c r="J749" s="33"/>
      <c r="K749" s="33"/>
      <c r="L749" s="33"/>
      <c r="M749" s="54">
        <f t="shared" si="279"/>
        <v>0</v>
      </c>
      <c r="N749" s="54"/>
      <c r="O749" s="54">
        <v>0</v>
      </c>
      <c r="P749" s="54"/>
      <c r="Q749" s="68">
        <f t="shared" si="280"/>
        <v>0</v>
      </c>
      <c r="R749" s="68"/>
      <c r="S749" s="68"/>
      <c r="T749" s="68"/>
      <c r="U749" s="129"/>
      <c r="V749" s="70">
        <f t="shared" si="281"/>
        <v>5</v>
      </c>
      <c r="W749" s="130" t="s">
        <v>2283</v>
      </c>
    </row>
    <row r="750" s="4" customFormat="1" ht="26.25" customHeight="1" spans="1:23">
      <c r="A750" s="117">
        <v>603001</v>
      </c>
      <c r="B750" s="29" t="s">
        <v>2111</v>
      </c>
      <c r="C750" s="118" t="s">
        <v>3405</v>
      </c>
      <c r="D750" s="82" t="s">
        <v>3406</v>
      </c>
      <c r="E750" s="37" t="s">
        <v>3529</v>
      </c>
      <c r="F750" s="32" t="s">
        <v>3412</v>
      </c>
      <c r="G750" s="33">
        <f t="shared" si="278"/>
        <v>9</v>
      </c>
      <c r="H750" s="33"/>
      <c r="I750" s="33"/>
      <c r="J750" s="33">
        <v>9</v>
      </c>
      <c r="K750" s="33"/>
      <c r="L750" s="33"/>
      <c r="M750" s="54">
        <f t="shared" si="279"/>
        <v>-1.2</v>
      </c>
      <c r="N750" s="54">
        <v>-9</v>
      </c>
      <c r="O750" s="54">
        <v>7.8</v>
      </c>
      <c r="P750" s="54"/>
      <c r="Q750" s="68">
        <f t="shared" si="280"/>
        <v>0</v>
      </c>
      <c r="R750" s="68"/>
      <c r="S750" s="68"/>
      <c r="T750" s="68"/>
      <c r="U750" s="129"/>
      <c r="V750" s="54">
        <f t="shared" si="281"/>
        <v>7.8</v>
      </c>
      <c r="W750" s="92" t="s">
        <v>653</v>
      </c>
    </row>
    <row r="751" s="4" customFormat="1" ht="26.25" customHeight="1" spans="1:23">
      <c r="A751" s="117">
        <v>603001</v>
      </c>
      <c r="B751" s="29" t="s">
        <v>2111</v>
      </c>
      <c r="C751" s="118" t="s">
        <v>2746</v>
      </c>
      <c r="D751" s="86" t="s">
        <v>2747</v>
      </c>
      <c r="E751" s="127" t="s">
        <v>3532</v>
      </c>
      <c r="F751" s="38" t="s">
        <v>3414</v>
      </c>
      <c r="G751" s="33">
        <f t="shared" si="278"/>
        <v>0</v>
      </c>
      <c r="H751" s="33"/>
      <c r="I751" s="33"/>
      <c r="J751" s="33"/>
      <c r="K751" s="33"/>
      <c r="L751" s="33"/>
      <c r="M751" s="54">
        <f t="shared" si="279"/>
        <v>0</v>
      </c>
      <c r="N751" s="54"/>
      <c r="O751" s="54"/>
      <c r="P751" s="54"/>
      <c r="Q751" s="68">
        <f t="shared" si="280"/>
        <v>5</v>
      </c>
      <c r="R751" s="68"/>
      <c r="S751" s="68">
        <v>5</v>
      </c>
      <c r="T751" s="68"/>
      <c r="U751" s="129"/>
      <c r="V751" s="68">
        <f t="shared" si="281"/>
        <v>5</v>
      </c>
      <c r="W751" s="91" t="s">
        <v>3415</v>
      </c>
    </row>
    <row r="752" s="4" customFormat="1" ht="26.25" customHeight="1" spans="1:23">
      <c r="A752" s="117">
        <v>603001</v>
      </c>
      <c r="B752" s="29" t="s">
        <v>2111</v>
      </c>
      <c r="C752" s="118" t="s">
        <v>2746</v>
      </c>
      <c r="D752" s="82" t="s">
        <v>2747</v>
      </c>
      <c r="E752" s="127" t="s">
        <v>3532</v>
      </c>
      <c r="F752" s="35" t="s">
        <v>3414</v>
      </c>
      <c r="G752" s="33">
        <f t="shared" si="278"/>
        <v>0</v>
      </c>
      <c r="H752" s="33"/>
      <c r="I752" s="33"/>
      <c r="J752" s="33"/>
      <c r="K752" s="33"/>
      <c r="L752" s="33"/>
      <c r="M752" s="54">
        <f t="shared" si="279"/>
        <v>15</v>
      </c>
      <c r="N752" s="54"/>
      <c r="O752" s="54">
        <v>15</v>
      </c>
      <c r="P752" s="54"/>
      <c r="Q752" s="68">
        <f t="shared" si="280"/>
        <v>0</v>
      </c>
      <c r="R752" s="68"/>
      <c r="S752" s="68"/>
      <c r="T752" s="68"/>
      <c r="U752" s="129"/>
      <c r="V752" s="54">
        <f t="shared" si="281"/>
        <v>15</v>
      </c>
      <c r="W752" s="74" t="s">
        <v>637</v>
      </c>
    </row>
    <row r="753" s="4" customFormat="1" ht="26.25" customHeight="1" spans="1:23">
      <c r="A753" s="117">
        <v>603001</v>
      </c>
      <c r="B753" s="29" t="s">
        <v>2111</v>
      </c>
      <c r="C753" s="118" t="s">
        <v>2746</v>
      </c>
      <c r="D753" s="119" t="s">
        <v>2747</v>
      </c>
      <c r="E753" s="37" t="s">
        <v>3533</v>
      </c>
      <c r="F753" s="32" t="s">
        <v>1084</v>
      </c>
      <c r="G753" s="33">
        <f t="shared" si="278"/>
        <v>5</v>
      </c>
      <c r="H753" s="33">
        <v>5</v>
      </c>
      <c r="I753" s="33"/>
      <c r="J753" s="33"/>
      <c r="K753" s="33"/>
      <c r="L753" s="33"/>
      <c r="M753" s="54">
        <f t="shared" si="279"/>
        <v>0</v>
      </c>
      <c r="N753" s="54"/>
      <c r="O753" s="54"/>
      <c r="P753" s="54"/>
      <c r="Q753" s="68">
        <f t="shared" si="280"/>
        <v>0</v>
      </c>
      <c r="R753" s="68"/>
      <c r="S753" s="68"/>
      <c r="T753" s="68"/>
      <c r="U753" s="129"/>
      <c r="V753" s="33">
        <f t="shared" si="281"/>
        <v>5</v>
      </c>
      <c r="W753" s="130" t="s">
        <v>2283</v>
      </c>
    </row>
    <row r="754" s="4" customFormat="1" ht="26.25" customHeight="1" spans="1:23">
      <c r="A754" s="117">
        <v>603001</v>
      </c>
      <c r="B754" s="29" t="s">
        <v>2111</v>
      </c>
      <c r="C754" s="35" t="s">
        <v>2814</v>
      </c>
      <c r="D754" s="76" t="s">
        <v>2815</v>
      </c>
      <c r="E754" s="127" t="s">
        <v>3534</v>
      </c>
      <c r="F754" s="35" t="s">
        <v>3535</v>
      </c>
      <c r="G754" s="33">
        <f t="shared" si="278"/>
        <v>0</v>
      </c>
      <c r="H754" s="33"/>
      <c r="I754" s="33"/>
      <c r="J754" s="33"/>
      <c r="K754" s="33"/>
      <c r="L754" s="33"/>
      <c r="M754" s="54">
        <f t="shared" si="279"/>
        <v>3</v>
      </c>
      <c r="N754" s="54"/>
      <c r="O754" s="54">
        <v>3</v>
      </c>
      <c r="P754" s="54"/>
      <c r="Q754" s="68">
        <f t="shared" si="280"/>
        <v>0</v>
      </c>
      <c r="R754" s="68"/>
      <c r="S754" s="68"/>
      <c r="T754" s="68"/>
      <c r="U754" s="129"/>
      <c r="V754" s="54">
        <f t="shared" si="281"/>
        <v>3</v>
      </c>
      <c r="W754" s="92" t="s">
        <v>500</v>
      </c>
    </row>
    <row r="755" s="4" customFormat="1" ht="26.25" customHeight="1" spans="1:23">
      <c r="A755" s="117">
        <v>603001</v>
      </c>
      <c r="B755" s="29" t="s">
        <v>2111</v>
      </c>
      <c r="C755" s="35" t="s">
        <v>2921</v>
      </c>
      <c r="D755" s="76" t="s">
        <v>2922</v>
      </c>
      <c r="E755" s="127" t="s">
        <v>3536</v>
      </c>
      <c r="F755" s="35" t="s">
        <v>1106</v>
      </c>
      <c r="G755" s="33">
        <f t="shared" si="278"/>
        <v>0</v>
      </c>
      <c r="H755" s="33"/>
      <c r="I755" s="33"/>
      <c r="J755" s="33"/>
      <c r="K755" s="33"/>
      <c r="L755" s="33"/>
      <c r="M755" s="54">
        <f t="shared" si="279"/>
        <v>20</v>
      </c>
      <c r="N755" s="54"/>
      <c r="O755" s="54">
        <v>20</v>
      </c>
      <c r="P755" s="54"/>
      <c r="Q755" s="68">
        <f t="shared" si="280"/>
        <v>0</v>
      </c>
      <c r="R755" s="68"/>
      <c r="S755" s="68"/>
      <c r="T755" s="68"/>
      <c r="U755" s="129"/>
      <c r="V755" s="54">
        <f t="shared" si="281"/>
        <v>20</v>
      </c>
      <c r="W755" s="92" t="s">
        <v>624</v>
      </c>
    </row>
    <row r="756" s="4" customFormat="1" ht="26.25" customHeight="1" spans="1:23">
      <c r="A756" s="117">
        <v>603001</v>
      </c>
      <c r="B756" s="29" t="s">
        <v>2111</v>
      </c>
      <c r="C756" s="118" t="s">
        <v>3284</v>
      </c>
      <c r="D756" s="86" t="s">
        <v>3285</v>
      </c>
      <c r="E756" s="127" t="s">
        <v>3537</v>
      </c>
      <c r="F756" s="38" t="s">
        <v>3538</v>
      </c>
      <c r="G756" s="33">
        <f t="shared" si="278"/>
        <v>0</v>
      </c>
      <c r="H756" s="33"/>
      <c r="I756" s="33"/>
      <c r="J756" s="33"/>
      <c r="K756" s="33"/>
      <c r="L756" s="33"/>
      <c r="M756" s="54">
        <f t="shared" si="279"/>
        <v>0</v>
      </c>
      <c r="N756" s="54"/>
      <c r="O756" s="54"/>
      <c r="P756" s="54"/>
      <c r="Q756" s="68">
        <f t="shared" si="280"/>
        <v>9.381308</v>
      </c>
      <c r="R756" s="68">
        <v>9.381308</v>
      </c>
      <c r="S756" s="68"/>
      <c r="T756" s="68"/>
      <c r="U756" s="129"/>
      <c r="V756" s="68">
        <f t="shared" si="281"/>
        <v>9.381308</v>
      </c>
      <c r="W756" s="91" t="s">
        <v>2498</v>
      </c>
    </row>
    <row r="757" s="4" customFormat="1" ht="26.25" customHeight="1" spans="1:23">
      <c r="A757" s="117">
        <v>603001</v>
      </c>
      <c r="B757" s="29" t="s">
        <v>2111</v>
      </c>
      <c r="C757" s="118" t="s">
        <v>3284</v>
      </c>
      <c r="D757" s="86" t="s">
        <v>3285</v>
      </c>
      <c r="E757" s="127" t="s">
        <v>3539</v>
      </c>
      <c r="F757" s="38" t="s">
        <v>3540</v>
      </c>
      <c r="G757" s="33">
        <f t="shared" si="278"/>
        <v>0</v>
      </c>
      <c r="H757" s="33"/>
      <c r="I757" s="33"/>
      <c r="J757" s="33"/>
      <c r="K757" s="33"/>
      <c r="L757" s="33"/>
      <c r="M757" s="54">
        <f t="shared" si="279"/>
        <v>0</v>
      </c>
      <c r="N757" s="54"/>
      <c r="O757" s="54"/>
      <c r="P757" s="54"/>
      <c r="Q757" s="68">
        <f t="shared" si="280"/>
        <v>46.396631</v>
      </c>
      <c r="R757" s="68">
        <v>46.396631</v>
      </c>
      <c r="S757" s="68"/>
      <c r="T757" s="68"/>
      <c r="U757" s="129"/>
      <c r="V757" s="68">
        <f t="shared" si="281"/>
        <v>46.396631</v>
      </c>
      <c r="W757" s="91" t="s">
        <v>2498</v>
      </c>
    </row>
    <row r="758" s="4" customFormat="1" ht="26.25" customHeight="1" spans="1:23">
      <c r="A758" s="117">
        <v>603001</v>
      </c>
      <c r="B758" s="29" t="s">
        <v>2111</v>
      </c>
      <c r="C758" s="118" t="s">
        <v>3284</v>
      </c>
      <c r="D758" s="120" t="s">
        <v>3285</v>
      </c>
      <c r="E758" s="37" t="s">
        <v>3541</v>
      </c>
      <c r="F758" s="32" t="s">
        <v>3538</v>
      </c>
      <c r="G758" s="33">
        <f t="shared" si="278"/>
        <v>29.71</v>
      </c>
      <c r="H758" s="33">
        <v>29.71</v>
      </c>
      <c r="I758" s="33"/>
      <c r="J758" s="33"/>
      <c r="K758" s="33"/>
      <c r="L758" s="33"/>
      <c r="M758" s="54">
        <f t="shared" si="279"/>
        <v>0</v>
      </c>
      <c r="N758" s="54"/>
      <c r="O758" s="54"/>
      <c r="P758" s="54"/>
      <c r="Q758" s="68">
        <f t="shared" si="280"/>
        <v>0</v>
      </c>
      <c r="R758" s="68"/>
      <c r="S758" s="68"/>
      <c r="T758" s="68"/>
      <c r="U758" s="129"/>
      <c r="V758" s="70">
        <f t="shared" si="281"/>
        <v>29.71</v>
      </c>
      <c r="W758" s="130" t="s">
        <v>2283</v>
      </c>
    </row>
    <row r="759" s="4" customFormat="1" ht="26.25" customHeight="1" spans="1:23">
      <c r="A759" s="117">
        <v>603001</v>
      </c>
      <c r="B759" s="29" t="s">
        <v>2111</v>
      </c>
      <c r="C759" s="118" t="s">
        <v>3284</v>
      </c>
      <c r="D759" s="120" t="s">
        <v>3285</v>
      </c>
      <c r="E759" s="37" t="s">
        <v>3542</v>
      </c>
      <c r="F759" s="32" t="s">
        <v>1058</v>
      </c>
      <c r="G759" s="33">
        <f t="shared" si="278"/>
        <v>180</v>
      </c>
      <c r="H759" s="33">
        <v>180</v>
      </c>
      <c r="I759" s="33"/>
      <c r="J759" s="33"/>
      <c r="K759" s="33"/>
      <c r="L759" s="33"/>
      <c r="M759" s="54">
        <f t="shared" si="279"/>
        <v>0</v>
      </c>
      <c r="N759" s="54"/>
      <c r="O759" s="54"/>
      <c r="P759" s="54"/>
      <c r="Q759" s="68">
        <f t="shared" si="280"/>
        <v>0</v>
      </c>
      <c r="R759" s="68"/>
      <c r="S759" s="68"/>
      <c r="T759" s="68"/>
      <c r="U759" s="129"/>
      <c r="V759" s="70">
        <f t="shared" si="281"/>
        <v>180</v>
      </c>
      <c r="W759" s="130" t="s">
        <v>2283</v>
      </c>
    </row>
    <row r="760" s="4" customFormat="1" ht="26.25" customHeight="1" spans="1:23">
      <c r="A760" s="117">
        <v>603001</v>
      </c>
      <c r="B760" s="29" t="s">
        <v>2111</v>
      </c>
      <c r="C760" s="118" t="s">
        <v>3296</v>
      </c>
      <c r="D760" s="119" t="s">
        <v>3294</v>
      </c>
      <c r="E760" s="37" t="s">
        <v>3543</v>
      </c>
      <c r="F760" s="32" t="s">
        <v>3294</v>
      </c>
      <c r="G760" s="33">
        <f t="shared" si="278"/>
        <v>60.7</v>
      </c>
      <c r="H760" s="33">
        <v>60.7</v>
      </c>
      <c r="I760" s="33"/>
      <c r="J760" s="33"/>
      <c r="K760" s="33"/>
      <c r="L760" s="33"/>
      <c r="M760" s="54">
        <f t="shared" si="279"/>
        <v>0</v>
      </c>
      <c r="N760" s="54"/>
      <c r="O760" s="54"/>
      <c r="P760" s="54"/>
      <c r="Q760" s="68">
        <f t="shared" si="280"/>
        <v>0</v>
      </c>
      <c r="R760" s="68"/>
      <c r="S760" s="68"/>
      <c r="T760" s="68"/>
      <c r="U760" s="129"/>
      <c r="V760" s="33">
        <f t="shared" si="281"/>
        <v>60.7</v>
      </c>
      <c r="W760" s="130" t="s">
        <v>2283</v>
      </c>
    </row>
    <row r="761" s="4" customFormat="1" ht="26.25" customHeight="1" spans="1:23">
      <c r="A761" s="117">
        <v>603001</v>
      </c>
      <c r="B761" s="29" t="s">
        <v>2111</v>
      </c>
      <c r="C761" s="118" t="s">
        <v>3296</v>
      </c>
      <c r="D761" s="120" t="s">
        <v>3294</v>
      </c>
      <c r="E761" s="37" t="s">
        <v>3544</v>
      </c>
      <c r="F761" s="32" t="s">
        <v>3545</v>
      </c>
      <c r="G761" s="33">
        <f t="shared" si="278"/>
        <v>20.72</v>
      </c>
      <c r="H761" s="33">
        <v>20.72</v>
      </c>
      <c r="I761" s="33"/>
      <c r="J761" s="33"/>
      <c r="K761" s="33"/>
      <c r="L761" s="33"/>
      <c r="M761" s="54">
        <f t="shared" si="279"/>
        <v>0</v>
      </c>
      <c r="N761" s="54"/>
      <c r="O761" s="54"/>
      <c r="P761" s="54"/>
      <c r="Q761" s="68">
        <f t="shared" si="280"/>
        <v>0</v>
      </c>
      <c r="R761" s="68"/>
      <c r="S761" s="68"/>
      <c r="T761" s="68"/>
      <c r="U761" s="129"/>
      <c r="V761" s="70">
        <f t="shared" si="281"/>
        <v>20.72</v>
      </c>
      <c r="W761" s="130" t="s">
        <v>2283</v>
      </c>
    </row>
    <row r="762" s="4" customFormat="1" ht="26.25" customHeight="1" spans="1:23">
      <c r="A762" s="117">
        <v>603001</v>
      </c>
      <c r="B762" s="29" t="s">
        <v>2111</v>
      </c>
      <c r="C762" s="35" t="s">
        <v>3546</v>
      </c>
      <c r="D762" s="38" t="s">
        <v>3547</v>
      </c>
      <c r="E762" s="127" t="s">
        <v>3548</v>
      </c>
      <c r="F762" s="38" t="s">
        <v>3506</v>
      </c>
      <c r="G762" s="33">
        <f t="shared" si="278"/>
        <v>0</v>
      </c>
      <c r="H762" s="33"/>
      <c r="I762" s="33"/>
      <c r="J762" s="33"/>
      <c r="K762" s="33"/>
      <c r="L762" s="33"/>
      <c r="M762" s="54">
        <f t="shared" si="279"/>
        <v>0</v>
      </c>
      <c r="N762" s="54"/>
      <c r="O762" s="54"/>
      <c r="P762" s="54"/>
      <c r="Q762" s="68">
        <f t="shared" si="280"/>
        <v>3.72</v>
      </c>
      <c r="R762" s="68"/>
      <c r="S762" s="68">
        <v>3.72</v>
      </c>
      <c r="T762" s="68"/>
      <c r="U762" s="129"/>
      <c r="V762" s="68">
        <f t="shared" si="281"/>
        <v>3.72</v>
      </c>
      <c r="W762" s="91" t="s">
        <v>3549</v>
      </c>
    </row>
    <row r="763" s="4" customFormat="1" ht="26.25" customHeight="1" spans="1:23">
      <c r="A763" s="117">
        <v>603001</v>
      </c>
      <c r="B763" s="29" t="s">
        <v>2111</v>
      </c>
      <c r="C763" s="35" t="s">
        <v>3550</v>
      </c>
      <c r="D763" s="38" t="s">
        <v>3551</v>
      </c>
      <c r="E763" s="121" t="s">
        <v>3552</v>
      </c>
      <c r="F763" s="38" t="s">
        <v>3551</v>
      </c>
      <c r="G763" s="33">
        <f t="shared" si="278"/>
        <v>0</v>
      </c>
      <c r="H763" s="33"/>
      <c r="I763" s="33"/>
      <c r="J763" s="33"/>
      <c r="K763" s="33"/>
      <c r="L763" s="33"/>
      <c r="M763" s="54">
        <f t="shared" si="279"/>
        <v>0</v>
      </c>
      <c r="N763" s="54"/>
      <c r="O763" s="54"/>
      <c r="P763" s="54"/>
      <c r="Q763" s="68">
        <f t="shared" si="280"/>
        <v>8</v>
      </c>
      <c r="R763" s="68">
        <v>8</v>
      </c>
      <c r="S763" s="68"/>
      <c r="T763" s="68"/>
      <c r="U763" s="129"/>
      <c r="V763" s="68">
        <f t="shared" si="281"/>
        <v>8</v>
      </c>
      <c r="W763" s="91" t="s">
        <v>2498</v>
      </c>
    </row>
    <row r="764" s="4" customFormat="1" ht="26.25" customHeight="1" spans="1:23">
      <c r="A764" s="117">
        <v>603001</v>
      </c>
      <c r="B764" s="29" t="s">
        <v>2111</v>
      </c>
      <c r="C764" s="118" t="s">
        <v>2617</v>
      </c>
      <c r="D764" s="86" t="s">
        <v>2618</v>
      </c>
      <c r="E764" s="127" t="s">
        <v>3553</v>
      </c>
      <c r="F764" s="38" t="s">
        <v>3554</v>
      </c>
      <c r="G764" s="33">
        <f t="shared" si="278"/>
        <v>0</v>
      </c>
      <c r="H764" s="33"/>
      <c r="I764" s="33"/>
      <c r="J764" s="33"/>
      <c r="K764" s="33"/>
      <c r="L764" s="33"/>
      <c r="M764" s="54">
        <f t="shared" si="279"/>
        <v>0</v>
      </c>
      <c r="N764" s="54"/>
      <c r="O764" s="54"/>
      <c r="P764" s="54"/>
      <c r="Q764" s="68">
        <f t="shared" si="280"/>
        <v>25.750224</v>
      </c>
      <c r="R764" s="68">
        <v>25.750224</v>
      </c>
      <c r="S764" s="68"/>
      <c r="T764" s="68"/>
      <c r="U764" s="129"/>
      <c r="V764" s="68">
        <f t="shared" si="281"/>
        <v>25.750224</v>
      </c>
      <c r="W764" s="91" t="s">
        <v>2498</v>
      </c>
    </row>
    <row r="765" s="4" customFormat="1" ht="26.25" customHeight="1" spans="1:23">
      <c r="A765" s="117">
        <v>603001</v>
      </c>
      <c r="B765" s="29" t="s">
        <v>2111</v>
      </c>
      <c r="C765" s="118" t="s">
        <v>2617</v>
      </c>
      <c r="D765" s="86" t="s">
        <v>2618</v>
      </c>
      <c r="E765" s="127" t="s">
        <v>3555</v>
      </c>
      <c r="F765" s="38" t="s">
        <v>3423</v>
      </c>
      <c r="G765" s="33">
        <f t="shared" si="278"/>
        <v>0</v>
      </c>
      <c r="H765" s="33"/>
      <c r="I765" s="33"/>
      <c r="J765" s="33"/>
      <c r="K765" s="33"/>
      <c r="L765" s="33"/>
      <c r="M765" s="54">
        <f t="shared" si="279"/>
        <v>0</v>
      </c>
      <c r="N765" s="54"/>
      <c r="O765" s="54"/>
      <c r="P765" s="54"/>
      <c r="Q765" s="68">
        <f t="shared" si="280"/>
        <v>3.22</v>
      </c>
      <c r="R765" s="68">
        <v>3.22</v>
      </c>
      <c r="S765" s="68"/>
      <c r="T765" s="68"/>
      <c r="U765" s="129"/>
      <c r="V765" s="68">
        <f t="shared" si="281"/>
        <v>3.22</v>
      </c>
      <c r="W765" s="91" t="s">
        <v>2498</v>
      </c>
    </row>
    <row r="766" s="4" customFormat="1" ht="26.25" customHeight="1" spans="1:23">
      <c r="A766" s="117">
        <v>603001</v>
      </c>
      <c r="B766" s="29" t="s">
        <v>2111</v>
      </c>
      <c r="C766" s="118" t="s">
        <v>2617</v>
      </c>
      <c r="D766" s="120" t="s">
        <v>2618</v>
      </c>
      <c r="E766" s="37" t="s">
        <v>3556</v>
      </c>
      <c r="F766" s="32" t="s">
        <v>3554</v>
      </c>
      <c r="G766" s="33">
        <f t="shared" si="278"/>
        <v>103.17</v>
      </c>
      <c r="H766" s="33">
        <v>103.17</v>
      </c>
      <c r="I766" s="33"/>
      <c r="J766" s="33"/>
      <c r="K766" s="33"/>
      <c r="L766" s="33"/>
      <c r="M766" s="54">
        <f t="shared" si="279"/>
        <v>0</v>
      </c>
      <c r="N766" s="54"/>
      <c r="O766" s="54"/>
      <c r="P766" s="54"/>
      <c r="Q766" s="68">
        <f t="shared" si="280"/>
        <v>0</v>
      </c>
      <c r="R766" s="68"/>
      <c r="S766" s="68"/>
      <c r="T766" s="68"/>
      <c r="U766" s="129"/>
      <c r="V766" s="70">
        <f t="shared" si="281"/>
        <v>103.17</v>
      </c>
      <c r="W766" s="130" t="s">
        <v>2283</v>
      </c>
    </row>
    <row r="767" s="4" customFormat="1" ht="26.25" customHeight="1" spans="1:23">
      <c r="A767" s="117">
        <v>603001</v>
      </c>
      <c r="B767" s="29" t="s">
        <v>2111</v>
      </c>
      <c r="C767" s="118" t="s">
        <v>2617</v>
      </c>
      <c r="D767" s="120" t="s">
        <v>2618</v>
      </c>
      <c r="E767" s="37" t="s">
        <v>3557</v>
      </c>
      <c r="F767" s="32" t="s">
        <v>3423</v>
      </c>
      <c r="G767" s="33">
        <f t="shared" si="278"/>
        <v>37.66</v>
      </c>
      <c r="H767" s="33">
        <v>37.66</v>
      </c>
      <c r="I767" s="33"/>
      <c r="J767" s="33"/>
      <c r="K767" s="33"/>
      <c r="L767" s="33"/>
      <c r="M767" s="54">
        <f t="shared" si="279"/>
        <v>0</v>
      </c>
      <c r="N767" s="54"/>
      <c r="O767" s="54"/>
      <c r="P767" s="54"/>
      <c r="Q767" s="68">
        <f t="shared" si="280"/>
        <v>0</v>
      </c>
      <c r="R767" s="68"/>
      <c r="S767" s="68"/>
      <c r="T767" s="68"/>
      <c r="U767" s="129"/>
      <c r="V767" s="70">
        <f t="shared" si="281"/>
        <v>37.66</v>
      </c>
      <c r="W767" s="130" t="s">
        <v>2283</v>
      </c>
    </row>
    <row r="768" s="4" customFormat="1" ht="26.25" customHeight="1" spans="1:23">
      <c r="A768" s="117">
        <v>603001</v>
      </c>
      <c r="B768" s="29" t="s">
        <v>2111</v>
      </c>
      <c r="C768" s="118" t="s">
        <v>3236</v>
      </c>
      <c r="D768" s="29" t="s">
        <v>3237</v>
      </c>
      <c r="E768" s="30" t="s">
        <v>3558</v>
      </c>
      <c r="F768" s="32" t="s">
        <v>1091</v>
      </c>
      <c r="G768" s="33">
        <f t="shared" si="278"/>
        <v>1153</v>
      </c>
      <c r="H768" s="33">
        <v>1153</v>
      </c>
      <c r="I768" s="33"/>
      <c r="J768" s="33"/>
      <c r="K768" s="33"/>
      <c r="L768" s="33"/>
      <c r="M768" s="54">
        <f t="shared" si="279"/>
        <v>0</v>
      </c>
      <c r="N768" s="54"/>
      <c r="O768" s="54"/>
      <c r="P768" s="54"/>
      <c r="Q768" s="68">
        <f t="shared" si="280"/>
        <v>0</v>
      </c>
      <c r="R768" s="68"/>
      <c r="S768" s="68"/>
      <c r="T768" s="68"/>
      <c r="U768" s="129">
        <v>500</v>
      </c>
      <c r="V768" s="33">
        <f t="shared" si="281"/>
        <v>653</v>
      </c>
      <c r="W768" s="130" t="s">
        <v>2283</v>
      </c>
    </row>
    <row r="769" s="4" customFormat="1" ht="26.25" customHeight="1" spans="1:23">
      <c r="A769" s="117">
        <v>603001</v>
      </c>
      <c r="B769" s="29" t="s">
        <v>2111</v>
      </c>
      <c r="C769" s="118" t="s">
        <v>3236</v>
      </c>
      <c r="D769" s="86" t="s">
        <v>3237</v>
      </c>
      <c r="E769" s="127" t="s">
        <v>3559</v>
      </c>
      <c r="F769" s="38" t="s">
        <v>3427</v>
      </c>
      <c r="G769" s="33">
        <f t="shared" si="278"/>
        <v>0</v>
      </c>
      <c r="H769" s="33"/>
      <c r="I769" s="33"/>
      <c r="J769" s="33"/>
      <c r="K769" s="33"/>
      <c r="L769" s="33"/>
      <c r="M769" s="54">
        <f t="shared" si="279"/>
        <v>0</v>
      </c>
      <c r="N769" s="54"/>
      <c r="O769" s="54"/>
      <c r="P769" s="54"/>
      <c r="Q769" s="68">
        <f t="shared" si="280"/>
        <v>24</v>
      </c>
      <c r="R769" s="68"/>
      <c r="S769" s="68">
        <v>24</v>
      </c>
      <c r="T769" s="68"/>
      <c r="U769" s="129"/>
      <c r="V769" s="68">
        <f t="shared" si="281"/>
        <v>24</v>
      </c>
      <c r="W769" s="91" t="s">
        <v>3428</v>
      </c>
    </row>
    <row r="770" s="4" customFormat="1" ht="26.25" customHeight="1" spans="1:23">
      <c r="A770" s="117">
        <v>603001</v>
      </c>
      <c r="B770" s="29" t="s">
        <v>2111</v>
      </c>
      <c r="C770" s="118" t="s">
        <v>3236</v>
      </c>
      <c r="D770" s="29" t="s">
        <v>3237</v>
      </c>
      <c r="E770" s="127" t="s">
        <v>3559</v>
      </c>
      <c r="F770" s="35" t="s">
        <v>3427</v>
      </c>
      <c r="G770" s="33">
        <f t="shared" si="278"/>
        <v>0</v>
      </c>
      <c r="H770" s="33"/>
      <c r="I770" s="33"/>
      <c r="J770" s="33"/>
      <c r="K770" s="55">
        <v>16</v>
      </c>
      <c r="L770" s="33"/>
      <c r="M770" s="54">
        <f t="shared" si="279"/>
        <v>0</v>
      </c>
      <c r="N770" s="54"/>
      <c r="O770" s="54"/>
      <c r="P770" s="54"/>
      <c r="Q770" s="68">
        <f t="shared" si="280"/>
        <v>0</v>
      </c>
      <c r="R770" s="68"/>
      <c r="S770" s="68"/>
      <c r="T770" s="68"/>
      <c r="U770" s="129"/>
      <c r="V770" s="33">
        <f t="shared" si="281"/>
        <v>16</v>
      </c>
      <c r="W770" s="130" t="s">
        <v>2283</v>
      </c>
    </row>
    <row r="771" s="4" customFormat="1" ht="26.25" customHeight="1" spans="1:23">
      <c r="A771" s="117">
        <v>603001</v>
      </c>
      <c r="B771" s="29" t="s">
        <v>2111</v>
      </c>
      <c r="C771" s="35" t="s">
        <v>3429</v>
      </c>
      <c r="D771" s="76" t="s">
        <v>3430</v>
      </c>
      <c r="E771" s="127" t="s">
        <v>3559</v>
      </c>
      <c r="F771" s="35" t="s">
        <v>3427</v>
      </c>
      <c r="G771" s="33">
        <f t="shared" si="278"/>
        <v>0</v>
      </c>
      <c r="H771" s="33"/>
      <c r="I771" s="33"/>
      <c r="J771" s="33"/>
      <c r="K771" s="33"/>
      <c r="L771" s="33"/>
      <c r="M771" s="54">
        <f t="shared" si="279"/>
        <v>16</v>
      </c>
      <c r="N771" s="54"/>
      <c r="O771" s="54">
        <v>16</v>
      </c>
      <c r="P771" s="54"/>
      <c r="Q771" s="68">
        <f t="shared" si="280"/>
        <v>0</v>
      </c>
      <c r="R771" s="68"/>
      <c r="S771" s="68"/>
      <c r="T771" s="68"/>
      <c r="U771" s="129"/>
      <c r="V771" s="54">
        <f t="shared" si="281"/>
        <v>16</v>
      </c>
      <c r="W771" s="92" t="s">
        <v>526</v>
      </c>
    </row>
    <row r="772" s="4" customFormat="1" ht="26.25" customHeight="1" spans="1:23">
      <c r="A772" s="117">
        <v>603001</v>
      </c>
      <c r="B772" s="29" t="s">
        <v>2111</v>
      </c>
      <c r="C772" s="118" t="s">
        <v>2342</v>
      </c>
      <c r="D772" s="86" t="s">
        <v>2343</v>
      </c>
      <c r="E772" s="127" t="s">
        <v>3560</v>
      </c>
      <c r="F772" s="38" t="s">
        <v>3432</v>
      </c>
      <c r="G772" s="33">
        <f t="shared" si="278"/>
        <v>0</v>
      </c>
      <c r="H772" s="33"/>
      <c r="I772" s="33"/>
      <c r="J772" s="33"/>
      <c r="K772" s="33"/>
      <c r="L772" s="33"/>
      <c r="M772" s="54">
        <f t="shared" si="279"/>
        <v>0</v>
      </c>
      <c r="N772" s="54"/>
      <c r="O772" s="54"/>
      <c r="P772" s="54"/>
      <c r="Q772" s="68">
        <f t="shared" si="280"/>
        <v>253.251</v>
      </c>
      <c r="R772" s="68">
        <v>253.251</v>
      </c>
      <c r="S772" s="68"/>
      <c r="T772" s="68"/>
      <c r="U772" s="129"/>
      <c r="V772" s="68">
        <f t="shared" si="281"/>
        <v>253.251</v>
      </c>
      <c r="W772" s="91" t="s">
        <v>2498</v>
      </c>
    </row>
    <row r="773" s="4" customFormat="1" ht="26.25" customHeight="1" spans="1:23">
      <c r="A773" s="117">
        <v>603001</v>
      </c>
      <c r="B773" s="29" t="s">
        <v>2111</v>
      </c>
      <c r="C773" s="118" t="s">
        <v>2342</v>
      </c>
      <c r="D773" s="120" t="s">
        <v>2343</v>
      </c>
      <c r="E773" s="37" t="s">
        <v>3561</v>
      </c>
      <c r="F773" s="48" t="s">
        <v>3436</v>
      </c>
      <c r="G773" s="33">
        <f t="shared" si="278"/>
        <v>413.07</v>
      </c>
      <c r="H773" s="33">
        <v>413.07</v>
      </c>
      <c r="I773" s="33"/>
      <c r="J773" s="33"/>
      <c r="K773" s="33"/>
      <c r="L773" s="33"/>
      <c r="M773" s="54">
        <f t="shared" si="279"/>
        <v>0</v>
      </c>
      <c r="N773" s="54"/>
      <c r="O773" s="54"/>
      <c r="P773" s="54"/>
      <c r="Q773" s="68">
        <f t="shared" si="280"/>
        <v>0</v>
      </c>
      <c r="R773" s="68"/>
      <c r="S773" s="68"/>
      <c r="T773" s="68"/>
      <c r="U773" s="129"/>
      <c r="V773" s="70">
        <f t="shared" si="281"/>
        <v>413.07</v>
      </c>
      <c r="W773" s="130" t="s">
        <v>2283</v>
      </c>
    </row>
    <row r="774" s="4" customFormat="1" ht="26.25" customHeight="1" spans="1:23">
      <c r="A774" s="117">
        <v>603001</v>
      </c>
      <c r="B774" s="29" t="s">
        <v>2111</v>
      </c>
      <c r="C774" s="118" t="s">
        <v>2342</v>
      </c>
      <c r="D774" s="120" t="s">
        <v>2343</v>
      </c>
      <c r="E774" s="37" t="s">
        <v>3562</v>
      </c>
      <c r="F774" s="48" t="s">
        <v>3438</v>
      </c>
      <c r="G774" s="33">
        <f t="shared" si="278"/>
        <v>272.05</v>
      </c>
      <c r="H774" s="33">
        <v>272.05</v>
      </c>
      <c r="I774" s="33"/>
      <c r="J774" s="33"/>
      <c r="K774" s="33"/>
      <c r="L774" s="33"/>
      <c r="M774" s="54">
        <f t="shared" si="279"/>
        <v>0</v>
      </c>
      <c r="N774" s="54"/>
      <c r="O774" s="54"/>
      <c r="P774" s="54"/>
      <c r="Q774" s="68">
        <f t="shared" si="280"/>
        <v>0</v>
      </c>
      <c r="R774" s="68"/>
      <c r="S774" s="68"/>
      <c r="T774" s="68"/>
      <c r="U774" s="129"/>
      <c r="V774" s="70">
        <f t="shared" si="281"/>
        <v>272.05</v>
      </c>
      <c r="W774" s="130" t="s">
        <v>2283</v>
      </c>
    </row>
    <row r="775" s="4" customFormat="1" ht="26.25" customHeight="1" spans="1:23">
      <c r="A775" s="117">
        <v>603001</v>
      </c>
      <c r="B775" s="29" t="s">
        <v>2111</v>
      </c>
      <c r="C775" s="118" t="s">
        <v>2342</v>
      </c>
      <c r="D775" s="120" t="s">
        <v>2343</v>
      </c>
      <c r="E775" s="37" t="s">
        <v>3563</v>
      </c>
      <c r="F775" s="48" t="s">
        <v>3434</v>
      </c>
      <c r="G775" s="33">
        <f t="shared" si="278"/>
        <v>67.2</v>
      </c>
      <c r="H775" s="33">
        <v>67.2</v>
      </c>
      <c r="I775" s="33"/>
      <c r="J775" s="33"/>
      <c r="K775" s="33"/>
      <c r="L775" s="33"/>
      <c r="M775" s="54">
        <f t="shared" si="279"/>
        <v>0</v>
      </c>
      <c r="N775" s="54"/>
      <c r="O775" s="54"/>
      <c r="P775" s="54"/>
      <c r="Q775" s="68">
        <f t="shared" si="280"/>
        <v>0</v>
      </c>
      <c r="R775" s="68"/>
      <c r="S775" s="68"/>
      <c r="T775" s="68"/>
      <c r="U775" s="129"/>
      <c r="V775" s="70">
        <f t="shared" si="281"/>
        <v>67.2</v>
      </c>
      <c r="W775" s="130" t="s">
        <v>2283</v>
      </c>
    </row>
    <row r="776" s="4" customFormat="1" ht="26.25" customHeight="1" spans="1:23">
      <c r="A776" s="117">
        <v>603001</v>
      </c>
      <c r="B776" s="29" t="s">
        <v>2111</v>
      </c>
      <c r="C776" s="118" t="s">
        <v>3307</v>
      </c>
      <c r="D776" s="120" t="s">
        <v>3308</v>
      </c>
      <c r="E776" s="37" t="s">
        <v>3564</v>
      </c>
      <c r="F776" s="32" t="s">
        <v>3446</v>
      </c>
      <c r="G776" s="33">
        <f t="shared" si="278"/>
        <v>21</v>
      </c>
      <c r="H776" s="33">
        <v>21</v>
      </c>
      <c r="I776" s="33"/>
      <c r="J776" s="33"/>
      <c r="K776" s="33"/>
      <c r="L776" s="33"/>
      <c r="M776" s="54">
        <f t="shared" si="279"/>
        <v>0</v>
      </c>
      <c r="N776" s="54"/>
      <c r="O776" s="54"/>
      <c r="P776" s="54"/>
      <c r="Q776" s="68">
        <f t="shared" si="280"/>
        <v>0</v>
      </c>
      <c r="R776" s="68"/>
      <c r="S776" s="68"/>
      <c r="T776" s="68"/>
      <c r="U776" s="129"/>
      <c r="V776" s="70">
        <f t="shared" si="281"/>
        <v>21</v>
      </c>
      <c r="W776" s="130" t="s">
        <v>2283</v>
      </c>
    </row>
    <row r="777" s="4" customFormat="1" ht="26.25" customHeight="1" spans="1:23">
      <c r="A777" s="117">
        <v>603001</v>
      </c>
      <c r="B777" s="29" t="s">
        <v>2111</v>
      </c>
      <c r="C777" s="35" t="s">
        <v>3565</v>
      </c>
      <c r="D777" s="47" t="s">
        <v>3566</v>
      </c>
      <c r="E777" s="127" t="s">
        <v>3567</v>
      </c>
      <c r="F777" s="35" t="s">
        <v>3568</v>
      </c>
      <c r="G777" s="33">
        <f t="shared" si="278"/>
        <v>0</v>
      </c>
      <c r="H777" s="33"/>
      <c r="I777" s="33"/>
      <c r="J777" s="33"/>
      <c r="K777" s="55">
        <v>10</v>
      </c>
      <c r="L777" s="33"/>
      <c r="M777" s="54">
        <f t="shared" si="279"/>
        <v>0</v>
      </c>
      <c r="N777" s="54"/>
      <c r="O777" s="54"/>
      <c r="P777" s="54"/>
      <c r="Q777" s="68">
        <f t="shared" si="280"/>
        <v>0</v>
      </c>
      <c r="R777" s="68"/>
      <c r="S777" s="68"/>
      <c r="T777" s="68"/>
      <c r="U777" s="129"/>
      <c r="V777" s="33">
        <f t="shared" si="281"/>
        <v>10</v>
      </c>
      <c r="W777" s="130" t="s">
        <v>2283</v>
      </c>
    </row>
    <row r="778" s="4" customFormat="1" ht="26.25" customHeight="1" spans="1:23">
      <c r="A778" s="117">
        <v>603001</v>
      </c>
      <c r="B778" s="29" t="s">
        <v>2111</v>
      </c>
      <c r="C778" s="35" t="s">
        <v>3565</v>
      </c>
      <c r="D778" s="132" t="s">
        <v>3566</v>
      </c>
      <c r="E778" s="127" t="s">
        <v>3569</v>
      </c>
      <c r="F778" s="35" t="s">
        <v>3570</v>
      </c>
      <c r="G778" s="33">
        <f t="shared" si="278"/>
        <v>0</v>
      </c>
      <c r="H778" s="33"/>
      <c r="I778" s="33"/>
      <c r="J778" s="33"/>
      <c r="K778" s="55">
        <v>36</v>
      </c>
      <c r="L778" s="33"/>
      <c r="M778" s="54">
        <f t="shared" si="279"/>
        <v>0</v>
      </c>
      <c r="N778" s="54"/>
      <c r="O778" s="54"/>
      <c r="P778" s="54"/>
      <c r="Q778" s="68">
        <f t="shared" si="280"/>
        <v>0</v>
      </c>
      <c r="R778" s="68"/>
      <c r="S778" s="68"/>
      <c r="T778" s="68"/>
      <c r="U778" s="129"/>
      <c r="V778" s="70">
        <f t="shared" si="281"/>
        <v>36</v>
      </c>
      <c r="W778" s="130" t="s">
        <v>2283</v>
      </c>
    </row>
    <row r="779" s="4" customFormat="1" ht="26.25" customHeight="1" spans="1:23">
      <c r="A779" s="117">
        <v>603001</v>
      </c>
      <c r="B779" s="29" t="s">
        <v>2111</v>
      </c>
      <c r="C779" s="118" t="s">
        <v>2412</v>
      </c>
      <c r="D779" s="119" t="s">
        <v>2310</v>
      </c>
      <c r="E779" s="30" t="s">
        <v>3571</v>
      </c>
      <c r="F779" s="32" t="s">
        <v>3452</v>
      </c>
      <c r="G779" s="33">
        <f t="shared" si="278"/>
        <v>2.5</v>
      </c>
      <c r="H779" s="33">
        <v>2.5</v>
      </c>
      <c r="I779" s="33"/>
      <c r="J779" s="33"/>
      <c r="K779" s="33"/>
      <c r="L779" s="33"/>
      <c r="M779" s="54">
        <f t="shared" si="279"/>
        <v>0</v>
      </c>
      <c r="N779" s="54"/>
      <c r="O779" s="54"/>
      <c r="P779" s="54"/>
      <c r="Q779" s="68">
        <f t="shared" si="280"/>
        <v>0</v>
      </c>
      <c r="R779" s="68"/>
      <c r="S779" s="68"/>
      <c r="T779" s="68"/>
      <c r="U779" s="129"/>
      <c r="V779" s="33">
        <f t="shared" si="281"/>
        <v>2.5</v>
      </c>
      <c r="W779" s="130" t="s">
        <v>2283</v>
      </c>
    </row>
    <row r="780" s="4" customFormat="1" ht="26.25" customHeight="1" spans="1:23">
      <c r="A780" s="117">
        <v>603001</v>
      </c>
      <c r="B780" s="29" t="s">
        <v>2111</v>
      </c>
      <c r="C780" s="118" t="s">
        <v>2412</v>
      </c>
      <c r="D780" s="29" t="s">
        <v>2310</v>
      </c>
      <c r="E780" s="40" t="s">
        <v>3511</v>
      </c>
      <c r="F780" s="40" t="s">
        <v>1087</v>
      </c>
      <c r="G780" s="33">
        <f t="shared" si="278"/>
        <v>0</v>
      </c>
      <c r="H780" s="33"/>
      <c r="I780" s="33"/>
      <c r="J780" s="33"/>
      <c r="K780" s="33"/>
      <c r="L780" s="33">
        <v>136.93</v>
      </c>
      <c r="M780" s="54">
        <f t="shared" si="279"/>
        <v>0</v>
      </c>
      <c r="N780" s="54"/>
      <c r="O780" s="54"/>
      <c r="P780" s="54"/>
      <c r="Q780" s="68">
        <f t="shared" si="280"/>
        <v>0</v>
      </c>
      <c r="R780" s="68"/>
      <c r="S780" s="68"/>
      <c r="T780" s="68"/>
      <c r="U780" s="129"/>
      <c r="V780" s="33">
        <f t="shared" si="281"/>
        <v>136.93</v>
      </c>
      <c r="W780" s="130" t="s">
        <v>2283</v>
      </c>
    </row>
    <row r="781" s="4" customFormat="1" ht="26.25" customHeight="1" spans="1:23">
      <c r="A781" s="115">
        <v>603002</v>
      </c>
      <c r="B781" s="23" t="s">
        <v>1390</v>
      </c>
      <c r="C781" s="116"/>
      <c r="D781" s="116"/>
      <c r="E781" s="84"/>
      <c r="F781" s="26"/>
      <c r="G781" s="27">
        <f t="shared" ref="G781:V781" si="282">SUM(G782:G788)</f>
        <v>74.5</v>
      </c>
      <c r="H781" s="27">
        <f t="shared" si="282"/>
        <v>59.5</v>
      </c>
      <c r="I781" s="27">
        <f t="shared" si="282"/>
        <v>15</v>
      </c>
      <c r="J781" s="27">
        <f t="shared" si="282"/>
        <v>0</v>
      </c>
      <c r="K781" s="27">
        <f t="shared" si="282"/>
        <v>0</v>
      </c>
      <c r="L781" s="27">
        <f t="shared" si="282"/>
        <v>0</v>
      </c>
      <c r="M781" s="27">
        <f t="shared" si="282"/>
        <v>0</v>
      </c>
      <c r="N781" s="27">
        <f t="shared" si="282"/>
        <v>0</v>
      </c>
      <c r="O781" s="27">
        <f t="shared" si="282"/>
        <v>0</v>
      </c>
      <c r="P781" s="27">
        <f t="shared" si="282"/>
        <v>0</v>
      </c>
      <c r="Q781" s="27">
        <f t="shared" si="282"/>
        <v>55</v>
      </c>
      <c r="R781" s="27">
        <f t="shared" si="282"/>
        <v>0</v>
      </c>
      <c r="S781" s="27">
        <f t="shared" si="282"/>
        <v>55</v>
      </c>
      <c r="T781" s="27">
        <f t="shared" si="282"/>
        <v>0</v>
      </c>
      <c r="U781" s="27">
        <f t="shared" si="282"/>
        <v>5.5</v>
      </c>
      <c r="V781" s="27">
        <f t="shared" si="282"/>
        <v>124</v>
      </c>
      <c r="W781" s="67"/>
    </row>
    <row r="782" s="4" customFormat="1" ht="26.25" customHeight="1" spans="1:23">
      <c r="A782" s="117">
        <v>603002</v>
      </c>
      <c r="B782" s="29" t="s">
        <v>2126</v>
      </c>
      <c r="C782" s="35" t="s">
        <v>2546</v>
      </c>
      <c r="D782" s="38" t="s">
        <v>2547</v>
      </c>
      <c r="E782" s="121" t="s">
        <v>3572</v>
      </c>
      <c r="F782" s="38" t="s">
        <v>3454</v>
      </c>
      <c r="G782" s="33">
        <f t="shared" ref="G782:G788" si="283">SUM(H782:J782)</f>
        <v>0</v>
      </c>
      <c r="H782" s="33"/>
      <c r="I782" s="33"/>
      <c r="J782" s="33"/>
      <c r="K782" s="33"/>
      <c r="L782" s="33"/>
      <c r="M782" s="54">
        <f t="shared" ref="M782:M788" si="284">N782+O782-P782</f>
        <v>0</v>
      </c>
      <c r="N782" s="54"/>
      <c r="O782" s="54"/>
      <c r="P782" s="54"/>
      <c r="Q782" s="68">
        <f t="shared" ref="Q782:Q788" si="285">R782+S782-T782</f>
        <v>10</v>
      </c>
      <c r="R782" s="68"/>
      <c r="S782" s="68">
        <v>10</v>
      </c>
      <c r="T782" s="68"/>
      <c r="U782" s="129"/>
      <c r="V782" s="68">
        <f t="shared" ref="V782:V788" si="286">G782+K782+L782+M782+Q782-U782</f>
        <v>10</v>
      </c>
      <c r="W782" s="91" t="s">
        <v>2550</v>
      </c>
    </row>
    <row r="783" s="4" customFormat="1" ht="26.25" customHeight="1" spans="1:23">
      <c r="A783" s="117">
        <v>603002</v>
      </c>
      <c r="B783" s="29" t="s">
        <v>2126</v>
      </c>
      <c r="C783" s="118" t="s">
        <v>3455</v>
      </c>
      <c r="D783" s="86" t="s">
        <v>3456</v>
      </c>
      <c r="E783" s="121" t="s">
        <v>3572</v>
      </c>
      <c r="F783" s="38" t="s">
        <v>3454</v>
      </c>
      <c r="G783" s="33">
        <f t="shared" si="283"/>
        <v>0</v>
      </c>
      <c r="H783" s="33"/>
      <c r="I783" s="33"/>
      <c r="J783" s="33"/>
      <c r="K783" s="33"/>
      <c r="L783" s="33"/>
      <c r="M783" s="54">
        <f t="shared" si="284"/>
        <v>0</v>
      </c>
      <c r="N783" s="54"/>
      <c r="O783" s="54"/>
      <c r="P783" s="54"/>
      <c r="Q783" s="68">
        <f t="shared" si="285"/>
        <v>6</v>
      </c>
      <c r="R783" s="68"/>
      <c r="S783" s="68">
        <v>6</v>
      </c>
      <c r="T783" s="68"/>
      <c r="U783" s="129"/>
      <c r="V783" s="68">
        <f t="shared" si="286"/>
        <v>6</v>
      </c>
      <c r="W783" s="91" t="s">
        <v>3457</v>
      </c>
    </row>
    <row r="784" s="4" customFormat="1" ht="26.25" customHeight="1" spans="1:23">
      <c r="A784" s="117">
        <v>603002</v>
      </c>
      <c r="B784" s="29" t="s">
        <v>2126</v>
      </c>
      <c r="C784" s="118" t="s">
        <v>3455</v>
      </c>
      <c r="D784" s="86" t="s">
        <v>3456</v>
      </c>
      <c r="E784" s="121" t="s">
        <v>3572</v>
      </c>
      <c r="F784" s="38" t="s">
        <v>3454</v>
      </c>
      <c r="G784" s="33">
        <f t="shared" si="283"/>
        <v>0</v>
      </c>
      <c r="H784" s="33"/>
      <c r="I784" s="33"/>
      <c r="J784" s="33"/>
      <c r="K784" s="33"/>
      <c r="L784" s="33"/>
      <c r="M784" s="54">
        <f t="shared" si="284"/>
        <v>0</v>
      </c>
      <c r="N784" s="54"/>
      <c r="O784" s="54"/>
      <c r="P784" s="54"/>
      <c r="Q784" s="68">
        <f t="shared" si="285"/>
        <v>29</v>
      </c>
      <c r="R784" s="68"/>
      <c r="S784" s="68">
        <v>29</v>
      </c>
      <c r="T784" s="68"/>
      <c r="U784" s="129"/>
      <c r="V784" s="68">
        <f t="shared" si="286"/>
        <v>29</v>
      </c>
      <c r="W784" s="91" t="s">
        <v>3458</v>
      </c>
    </row>
    <row r="785" s="4" customFormat="1" ht="26.25" customHeight="1" spans="1:23">
      <c r="A785" s="117">
        <v>603002</v>
      </c>
      <c r="B785" s="29" t="s">
        <v>2126</v>
      </c>
      <c r="C785" s="118" t="s">
        <v>3455</v>
      </c>
      <c r="D785" s="119" t="s">
        <v>3456</v>
      </c>
      <c r="E785" s="30" t="s">
        <v>3573</v>
      </c>
      <c r="F785" s="32" t="s">
        <v>932</v>
      </c>
      <c r="G785" s="33">
        <f t="shared" si="283"/>
        <v>55</v>
      </c>
      <c r="H785" s="33">
        <v>55</v>
      </c>
      <c r="I785" s="33"/>
      <c r="J785" s="33"/>
      <c r="K785" s="33"/>
      <c r="L785" s="33"/>
      <c r="M785" s="54">
        <f t="shared" si="284"/>
        <v>0</v>
      </c>
      <c r="N785" s="54"/>
      <c r="O785" s="54"/>
      <c r="P785" s="54"/>
      <c r="Q785" s="68">
        <f t="shared" si="285"/>
        <v>0</v>
      </c>
      <c r="R785" s="68"/>
      <c r="S785" s="68"/>
      <c r="T785" s="68"/>
      <c r="U785" s="129">
        <v>5.5</v>
      </c>
      <c r="V785" s="33">
        <f t="shared" si="286"/>
        <v>49.5</v>
      </c>
      <c r="W785" s="130" t="s">
        <v>2283</v>
      </c>
    </row>
    <row r="786" s="4" customFormat="1" ht="26.25" customHeight="1" spans="1:23">
      <c r="A786" s="117">
        <v>603002</v>
      </c>
      <c r="B786" s="29" t="s">
        <v>2126</v>
      </c>
      <c r="C786" s="118" t="s">
        <v>3455</v>
      </c>
      <c r="D786" s="119" t="s">
        <v>3456</v>
      </c>
      <c r="E786" s="30" t="s">
        <v>3574</v>
      </c>
      <c r="F786" s="32" t="s">
        <v>2305</v>
      </c>
      <c r="G786" s="33">
        <f t="shared" si="283"/>
        <v>4.5</v>
      </c>
      <c r="H786" s="33">
        <v>4.5</v>
      </c>
      <c r="I786" s="33"/>
      <c r="J786" s="33"/>
      <c r="K786" s="33"/>
      <c r="L786" s="33"/>
      <c r="M786" s="54">
        <f t="shared" si="284"/>
        <v>0</v>
      </c>
      <c r="N786" s="54"/>
      <c r="O786" s="54"/>
      <c r="P786" s="54"/>
      <c r="Q786" s="68">
        <f t="shared" si="285"/>
        <v>0</v>
      </c>
      <c r="R786" s="68"/>
      <c r="S786" s="68"/>
      <c r="T786" s="68"/>
      <c r="U786" s="129"/>
      <c r="V786" s="33">
        <f t="shared" si="286"/>
        <v>4.5</v>
      </c>
      <c r="W786" s="130" t="s">
        <v>2283</v>
      </c>
    </row>
    <row r="787" s="4" customFormat="1" ht="26.25" customHeight="1" spans="1:23">
      <c r="A787" s="117">
        <v>603002</v>
      </c>
      <c r="B787" s="29" t="s">
        <v>2126</v>
      </c>
      <c r="C787" s="118" t="s">
        <v>3455</v>
      </c>
      <c r="D787" s="29" t="s">
        <v>3456</v>
      </c>
      <c r="E787" s="30" t="s">
        <v>3575</v>
      </c>
      <c r="F787" s="32" t="s">
        <v>933</v>
      </c>
      <c r="G787" s="33">
        <f t="shared" si="283"/>
        <v>15</v>
      </c>
      <c r="H787" s="33"/>
      <c r="I787" s="33">
        <v>15</v>
      </c>
      <c r="J787" s="33"/>
      <c r="K787" s="33"/>
      <c r="L787" s="33"/>
      <c r="M787" s="54">
        <f t="shared" si="284"/>
        <v>0</v>
      </c>
      <c r="N787" s="54"/>
      <c r="O787" s="54"/>
      <c r="P787" s="54"/>
      <c r="Q787" s="68">
        <f t="shared" si="285"/>
        <v>0</v>
      </c>
      <c r="R787" s="68"/>
      <c r="S787" s="68"/>
      <c r="T787" s="68"/>
      <c r="U787" s="129"/>
      <c r="V787" s="33">
        <f t="shared" si="286"/>
        <v>15</v>
      </c>
      <c r="W787" s="130" t="s">
        <v>2283</v>
      </c>
    </row>
    <row r="788" s="4" customFormat="1" ht="26.25" customHeight="1" spans="1:23">
      <c r="A788" s="117">
        <v>603002</v>
      </c>
      <c r="B788" s="29" t="s">
        <v>2126</v>
      </c>
      <c r="C788" s="35" t="s">
        <v>2412</v>
      </c>
      <c r="D788" s="38" t="s">
        <v>2310</v>
      </c>
      <c r="E788" s="121" t="s">
        <v>3576</v>
      </c>
      <c r="F788" s="38" t="s">
        <v>3464</v>
      </c>
      <c r="G788" s="33">
        <f t="shared" si="283"/>
        <v>0</v>
      </c>
      <c r="H788" s="33"/>
      <c r="I788" s="33"/>
      <c r="J788" s="33"/>
      <c r="K788" s="33"/>
      <c r="L788" s="33"/>
      <c r="M788" s="54">
        <f t="shared" si="284"/>
        <v>0</v>
      </c>
      <c r="N788" s="54"/>
      <c r="O788" s="54"/>
      <c r="P788" s="54"/>
      <c r="Q788" s="68">
        <f t="shared" si="285"/>
        <v>10</v>
      </c>
      <c r="R788" s="68"/>
      <c r="S788" s="68">
        <v>10</v>
      </c>
      <c r="T788" s="68"/>
      <c r="U788" s="129"/>
      <c r="V788" s="68">
        <f t="shared" si="286"/>
        <v>10</v>
      </c>
      <c r="W788" s="91" t="s">
        <v>3465</v>
      </c>
    </row>
    <row r="789" s="4" customFormat="1" ht="26.25" customHeight="1" spans="1:23">
      <c r="A789" s="115">
        <v>604001</v>
      </c>
      <c r="B789" s="23" t="s">
        <v>1392</v>
      </c>
      <c r="C789" s="116"/>
      <c r="D789" s="116"/>
      <c r="E789" s="84"/>
      <c r="F789" s="26"/>
      <c r="G789" s="27">
        <f t="shared" ref="G789:V789" si="287">SUM(G790:G825)</f>
        <v>1379.96</v>
      </c>
      <c r="H789" s="27">
        <f t="shared" si="287"/>
        <v>1355.86</v>
      </c>
      <c r="I789" s="27">
        <f t="shared" si="287"/>
        <v>15.1</v>
      </c>
      <c r="J789" s="27">
        <f t="shared" si="287"/>
        <v>9</v>
      </c>
      <c r="K789" s="27">
        <f t="shared" si="287"/>
        <v>178</v>
      </c>
      <c r="L789" s="27">
        <f t="shared" si="287"/>
        <v>148</v>
      </c>
      <c r="M789" s="27">
        <f t="shared" si="287"/>
        <v>269</v>
      </c>
      <c r="N789" s="27">
        <f t="shared" si="287"/>
        <v>-9</v>
      </c>
      <c r="O789" s="27">
        <f t="shared" si="287"/>
        <v>278</v>
      </c>
      <c r="P789" s="27">
        <f t="shared" si="287"/>
        <v>0</v>
      </c>
      <c r="Q789" s="27">
        <f t="shared" si="287"/>
        <v>411.959044</v>
      </c>
      <c r="R789" s="27">
        <f t="shared" si="287"/>
        <v>366.681449</v>
      </c>
      <c r="S789" s="27">
        <f t="shared" si="287"/>
        <v>45.277595</v>
      </c>
      <c r="T789" s="27">
        <f t="shared" si="287"/>
        <v>0</v>
      </c>
      <c r="U789" s="27">
        <f t="shared" si="287"/>
        <v>0</v>
      </c>
      <c r="V789" s="27">
        <f t="shared" si="287"/>
        <v>2386.919044</v>
      </c>
      <c r="W789" s="67"/>
    </row>
    <row r="790" s="4" customFormat="1" ht="26.25" customHeight="1" spans="1:23">
      <c r="A790" s="117">
        <v>604001</v>
      </c>
      <c r="B790" s="29" t="s">
        <v>2137</v>
      </c>
      <c r="C790" s="118" t="s">
        <v>3382</v>
      </c>
      <c r="D790" s="119" t="s">
        <v>3383</v>
      </c>
      <c r="E790" s="30" t="s">
        <v>3577</v>
      </c>
      <c r="F790" s="32" t="s">
        <v>3385</v>
      </c>
      <c r="G790" s="33">
        <f t="shared" ref="G790:G825" si="288">SUM(H790:J790)</f>
        <v>5</v>
      </c>
      <c r="H790" s="33">
        <v>5</v>
      </c>
      <c r="I790" s="33"/>
      <c r="J790" s="33"/>
      <c r="K790" s="33"/>
      <c r="L790" s="33"/>
      <c r="M790" s="54">
        <f t="shared" ref="M790:M825" si="289">N790+O790-P790</f>
        <v>0</v>
      </c>
      <c r="N790" s="54"/>
      <c r="O790" s="54"/>
      <c r="P790" s="54"/>
      <c r="Q790" s="68">
        <f t="shared" ref="Q790:Q825" si="290">R790+S790-T790</f>
        <v>0</v>
      </c>
      <c r="R790" s="68"/>
      <c r="S790" s="68"/>
      <c r="T790" s="68"/>
      <c r="U790" s="129"/>
      <c r="V790" s="33">
        <f t="shared" ref="V790:V825" si="291">G790+K790+L790+M790+Q790-U790</f>
        <v>5</v>
      </c>
      <c r="W790" s="130" t="s">
        <v>2283</v>
      </c>
    </row>
    <row r="791" s="4" customFormat="1" ht="26.25" customHeight="1" spans="1:23">
      <c r="A791" s="117">
        <v>604001</v>
      </c>
      <c r="B791" s="29" t="s">
        <v>2137</v>
      </c>
      <c r="C791" s="35" t="s">
        <v>1438</v>
      </c>
      <c r="D791" s="40" t="s">
        <v>1439</v>
      </c>
      <c r="E791" s="121" t="s">
        <v>3578</v>
      </c>
      <c r="F791" s="35" t="s">
        <v>1087</v>
      </c>
      <c r="G791" s="33">
        <f t="shared" si="288"/>
        <v>0</v>
      </c>
      <c r="H791" s="33"/>
      <c r="I791" s="33"/>
      <c r="J791" s="33"/>
      <c r="K791" s="55">
        <v>100</v>
      </c>
      <c r="L791" s="33"/>
      <c r="M791" s="54">
        <f t="shared" si="289"/>
        <v>0</v>
      </c>
      <c r="N791" s="54"/>
      <c r="O791" s="54"/>
      <c r="P791" s="54"/>
      <c r="Q791" s="68">
        <f t="shared" si="290"/>
        <v>0</v>
      </c>
      <c r="R791" s="68"/>
      <c r="S791" s="68"/>
      <c r="T791" s="68"/>
      <c r="U791" s="129"/>
      <c r="V791" s="33">
        <f t="shared" si="291"/>
        <v>100</v>
      </c>
      <c r="W791" s="130" t="s">
        <v>2283</v>
      </c>
    </row>
    <row r="792" s="4" customFormat="1" ht="26.25" customHeight="1" spans="1:23">
      <c r="A792" s="117">
        <v>604001</v>
      </c>
      <c r="B792" s="29" t="s">
        <v>2137</v>
      </c>
      <c r="C792" s="118" t="s">
        <v>2280</v>
      </c>
      <c r="D792" s="119" t="s">
        <v>2083</v>
      </c>
      <c r="E792" s="30" t="s">
        <v>3579</v>
      </c>
      <c r="F792" s="32" t="s">
        <v>3394</v>
      </c>
      <c r="G792" s="33">
        <f t="shared" si="288"/>
        <v>2.4</v>
      </c>
      <c r="H792" s="33">
        <v>2.4</v>
      </c>
      <c r="I792" s="33"/>
      <c r="J792" s="33"/>
      <c r="K792" s="33"/>
      <c r="L792" s="33"/>
      <c r="M792" s="54">
        <f t="shared" si="289"/>
        <v>0</v>
      </c>
      <c r="N792" s="54"/>
      <c r="O792" s="54"/>
      <c r="P792" s="54"/>
      <c r="Q792" s="68">
        <f t="shared" si="290"/>
        <v>0</v>
      </c>
      <c r="R792" s="68"/>
      <c r="S792" s="68"/>
      <c r="T792" s="68"/>
      <c r="U792" s="129"/>
      <c r="V792" s="33">
        <f t="shared" si="291"/>
        <v>2.4</v>
      </c>
      <c r="W792" s="130" t="s">
        <v>2283</v>
      </c>
    </row>
    <row r="793" s="4" customFormat="1" ht="26.25" customHeight="1" spans="1:23">
      <c r="A793" s="117">
        <v>604001</v>
      </c>
      <c r="B793" s="29" t="s">
        <v>2137</v>
      </c>
      <c r="C793" s="118" t="s">
        <v>2280</v>
      </c>
      <c r="D793" s="119" t="s">
        <v>2083</v>
      </c>
      <c r="E793" s="30" t="s">
        <v>3580</v>
      </c>
      <c r="F793" s="32" t="s">
        <v>2305</v>
      </c>
      <c r="G793" s="33">
        <f t="shared" si="288"/>
        <v>22</v>
      </c>
      <c r="H793" s="33">
        <v>22</v>
      </c>
      <c r="I793" s="33"/>
      <c r="J793" s="33"/>
      <c r="K793" s="33"/>
      <c r="L793" s="33"/>
      <c r="M793" s="54">
        <f t="shared" si="289"/>
        <v>0</v>
      </c>
      <c r="N793" s="54"/>
      <c r="O793" s="54"/>
      <c r="P793" s="54"/>
      <c r="Q793" s="68">
        <f t="shared" si="290"/>
        <v>0</v>
      </c>
      <c r="R793" s="68"/>
      <c r="S793" s="68"/>
      <c r="T793" s="68"/>
      <c r="U793" s="129"/>
      <c r="V793" s="33">
        <f t="shared" si="291"/>
        <v>22</v>
      </c>
      <c r="W793" s="130" t="s">
        <v>2283</v>
      </c>
    </row>
    <row r="794" s="4" customFormat="1" ht="26.25" customHeight="1" spans="1:23">
      <c r="A794" s="117">
        <v>604001</v>
      </c>
      <c r="B794" s="29" t="s">
        <v>2137</v>
      </c>
      <c r="C794" s="118" t="s">
        <v>2280</v>
      </c>
      <c r="D794" s="119" t="s">
        <v>2083</v>
      </c>
      <c r="E794" s="30" t="s">
        <v>3581</v>
      </c>
      <c r="F794" s="32" t="s">
        <v>3388</v>
      </c>
      <c r="G794" s="33">
        <f t="shared" si="288"/>
        <v>8.16</v>
      </c>
      <c r="H794" s="33">
        <v>8.16</v>
      </c>
      <c r="I794" s="33"/>
      <c r="J794" s="33"/>
      <c r="K794" s="33"/>
      <c r="L794" s="33"/>
      <c r="M794" s="54">
        <f t="shared" si="289"/>
        <v>0</v>
      </c>
      <c r="N794" s="54"/>
      <c r="O794" s="54"/>
      <c r="P794" s="54"/>
      <c r="Q794" s="68">
        <f t="shared" si="290"/>
        <v>0</v>
      </c>
      <c r="R794" s="68"/>
      <c r="S794" s="68"/>
      <c r="T794" s="68"/>
      <c r="U794" s="129"/>
      <c r="V794" s="33">
        <f t="shared" si="291"/>
        <v>8.16</v>
      </c>
      <c r="W794" s="130" t="s">
        <v>2283</v>
      </c>
    </row>
    <row r="795" s="4" customFormat="1" ht="26.25" customHeight="1" spans="1:23">
      <c r="A795" s="117">
        <v>604001</v>
      </c>
      <c r="B795" s="29" t="s">
        <v>2137</v>
      </c>
      <c r="C795" s="118" t="s">
        <v>2280</v>
      </c>
      <c r="D795" s="119" t="s">
        <v>2083</v>
      </c>
      <c r="E795" s="30" t="s">
        <v>3582</v>
      </c>
      <c r="F795" s="32" t="s">
        <v>3513</v>
      </c>
      <c r="G795" s="33">
        <f t="shared" si="288"/>
        <v>39.6</v>
      </c>
      <c r="H795" s="33">
        <v>39.6</v>
      </c>
      <c r="I795" s="33"/>
      <c r="J795" s="33"/>
      <c r="K795" s="33"/>
      <c r="L795" s="33"/>
      <c r="M795" s="54">
        <f t="shared" si="289"/>
        <v>0</v>
      </c>
      <c r="N795" s="54"/>
      <c r="O795" s="54"/>
      <c r="P795" s="54"/>
      <c r="Q795" s="68">
        <f t="shared" si="290"/>
        <v>0</v>
      </c>
      <c r="R795" s="68"/>
      <c r="S795" s="68"/>
      <c r="T795" s="68"/>
      <c r="U795" s="129"/>
      <c r="V795" s="33">
        <f t="shared" si="291"/>
        <v>39.6</v>
      </c>
      <c r="W795" s="130" t="s">
        <v>2283</v>
      </c>
    </row>
    <row r="796" s="4" customFormat="1" ht="26.25" customHeight="1" spans="1:23">
      <c r="A796" s="117">
        <v>604001</v>
      </c>
      <c r="B796" s="29" t="s">
        <v>2137</v>
      </c>
      <c r="C796" s="118" t="s">
        <v>2280</v>
      </c>
      <c r="D796" s="119" t="s">
        <v>2083</v>
      </c>
      <c r="E796" s="30" t="s">
        <v>3583</v>
      </c>
      <c r="F796" s="32" t="s">
        <v>2288</v>
      </c>
      <c r="G796" s="33">
        <f t="shared" si="288"/>
        <v>2.4</v>
      </c>
      <c r="H796" s="33">
        <v>2.4</v>
      </c>
      <c r="I796" s="33"/>
      <c r="J796" s="33"/>
      <c r="K796" s="33"/>
      <c r="L796" s="33"/>
      <c r="M796" s="54">
        <f t="shared" si="289"/>
        <v>0</v>
      </c>
      <c r="N796" s="54"/>
      <c r="O796" s="54"/>
      <c r="P796" s="54"/>
      <c r="Q796" s="68">
        <f t="shared" si="290"/>
        <v>0</v>
      </c>
      <c r="R796" s="68"/>
      <c r="S796" s="68"/>
      <c r="T796" s="68"/>
      <c r="U796" s="129"/>
      <c r="V796" s="33">
        <f t="shared" si="291"/>
        <v>2.4</v>
      </c>
      <c r="W796" s="130" t="s">
        <v>2283</v>
      </c>
    </row>
    <row r="797" s="4" customFormat="1" ht="26.25" customHeight="1" spans="1:23">
      <c r="A797" s="117">
        <v>604001</v>
      </c>
      <c r="B797" s="29" t="s">
        <v>2137</v>
      </c>
      <c r="C797" s="118" t="s">
        <v>2280</v>
      </c>
      <c r="D797" s="29" t="s">
        <v>2083</v>
      </c>
      <c r="E797" s="30" t="s">
        <v>3578</v>
      </c>
      <c r="F797" s="32" t="s">
        <v>1080</v>
      </c>
      <c r="G797" s="33">
        <f t="shared" si="288"/>
        <v>12</v>
      </c>
      <c r="H797" s="33"/>
      <c r="I797" s="33">
        <v>12</v>
      </c>
      <c r="J797" s="33"/>
      <c r="K797" s="33"/>
      <c r="L797" s="33"/>
      <c r="M797" s="54">
        <f t="shared" si="289"/>
        <v>0</v>
      </c>
      <c r="N797" s="54"/>
      <c r="O797" s="54"/>
      <c r="P797" s="54"/>
      <c r="Q797" s="68">
        <f t="shared" si="290"/>
        <v>0</v>
      </c>
      <c r="R797" s="68"/>
      <c r="S797" s="68"/>
      <c r="T797" s="68"/>
      <c r="U797" s="129"/>
      <c r="V797" s="33">
        <f t="shared" si="291"/>
        <v>12</v>
      </c>
      <c r="W797" s="130" t="s">
        <v>2283</v>
      </c>
    </row>
    <row r="798" s="4" customFormat="1" ht="26.25" customHeight="1" spans="1:23">
      <c r="A798" s="117">
        <v>604001</v>
      </c>
      <c r="B798" s="29" t="s">
        <v>2137</v>
      </c>
      <c r="C798" s="118" t="s">
        <v>2280</v>
      </c>
      <c r="D798" s="119" t="s">
        <v>2083</v>
      </c>
      <c r="E798" s="30" t="s">
        <v>3584</v>
      </c>
      <c r="F798" s="32" t="s">
        <v>933</v>
      </c>
      <c r="G798" s="33">
        <f t="shared" si="288"/>
        <v>5</v>
      </c>
      <c r="H798" s="33">
        <v>5</v>
      </c>
      <c r="I798" s="33"/>
      <c r="J798" s="33"/>
      <c r="K798" s="33"/>
      <c r="L798" s="33"/>
      <c r="M798" s="54">
        <f t="shared" si="289"/>
        <v>0</v>
      </c>
      <c r="N798" s="54"/>
      <c r="O798" s="54"/>
      <c r="P798" s="54"/>
      <c r="Q798" s="68">
        <f t="shared" si="290"/>
        <v>0</v>
      </c>
      <c r="R798" s="68"/>
      <c r="S798" s="68"/>
      <c r="T798" s="68"/>
      <c r="U798" s="129"/>
      <c r="V798" s="33">
        <f t="shared" si="291"/>
        <v>5</v>
      </c>
      <c r="W798" s="130" t="s">
        <v>2283</v>
      </c>
    </row>
    <row r="799" s="4" customFormat="1" ht="26.25" customHeight="1" spans="1:23">
      <c r="A799" s="117">
        <v>604001</v>
      </c>
      <c r="B799" s="29" t="s">
        <v>2137</v>
      </c>
      <c r="C799" s="118" t="s">
        <v>2280</v>
      </c>
      <c r="D799" s="29" t="s">
        <v>2083</v>
      </c>
      <c r="E799" s="121" t="s">
        <v>3585</v>
      </c>
      <c r="F799" s="35" t="s">
        <v>896</v>
      </c>
      <c r="G799" s="33">
        <f t="shared" si="288"/>
        <v>0</v>
      </c>
      <c r="H799" s="33"/>
      <c r="I799" s="33"/>
      <c r="J799" s="33"/>
      <c r="K799" s="33"/>
      <c r="L799" s="128">
        <v>18</v>
      </c>
      <c r="M799" s="54">
        <f t="shared" si="289"/>
        <v>0</v>
      </c>
      <c r="N799" s="54"/>
      <c r="O799" s="54"/>
      <c r="P799" s="54"/>
      <c r="Q799" s="68">
        <f t="shared" si="290"/>
        <v>0</v>
      </c>
      <c r="R799" s="68"/>
      <c r="S799" s="68"/>
      <c r="T799" s="68"/>
      <c r="U799" s="129"/>
      <c r="V799" s="33">
        <f t="shared" si="291"/>
        <v>18</v>
      </c>
      <c r="W799" s="130" t="s">
        <v>2283</v>
      </c>
    </row>
    <row r="800" s="4" customFormat="1" ht="26.25" customHeight="1" spans="1:23">
      <c r="A800" s="117">
        <v>604001</v>
      </c>
      <c r="B800" s="29" t="s">
        <v>2137</v>
      </c>
      <c r="C800" s="118" t="s">
        <v>2280</v>
      </c>
      <c r="D800" s="29" t="s">
        <v>2083</v>
      </c>
      <c r="E800" s="121" t="s">
        <v>3586</v>
      </c>
      <c r="F800" s="35" t="s">
        <v>1095</v>
      </c>
      <c r="G800" s="33">
        <f t="shared" si="288"/>
        <v>0</v>
      </c>
      <c r="H800" s="33"/>
      <c r="I800" s="33"/>
      <c r="J800" s="33"/>
      <c r="K800" s="33"/>
      <c r="L800" s="128">
        <v>130</v>
      </c>
      <c r="M800" s="54">
        <f t="shared" si="289"/>
        <v>0</v>
      </c>
      <c r="N800" s="54"/>
      <c r="O800" s="54"/>
      <c r="P800" s="54"/>
      <c r="Q800" s="68">
        <f t="shared" si="290"/>
        <v>0</v>
      </c>
      <c r="R800" s="68"/>
      <c r="S800" s="68"/>
      <c r="T800" s="68"/>
      <c r="U800" s="129"/>
      <c r="V800" s="33">
        <f t="shared" si="291"/>
        <v>130</v>
      </c>
      <c r="W800" s="130" t="s">
        <v>2283</v>
      </c>
    </row>
    <row r="801" s="4" customFormat="1" ht="26.25" customHeight="1" spans="1:23">
      <c r="A801" s="117">
        <v>604001</v>
      </c>
      <c r="B801" s="29" t="s">
        <v>2137</v>
      </c>
      <c r="C801" s="118" t="s">
        <v>2307</v>
      </c>
      <c r="D801" s="119" t="s">
        <v>2308</v>
      </c>
      <c r="E801" s="30" t="s">
        <v>3587</v>
      </c>
      <c r="F801" s="32" t="s">
        <v>1037</v>
      </c>
      <c r="G801" s="33">
        <f t="shared" si="288"/>
        <v>5</v>
      </c>
      <c r="H801" s="33">
        <v>5</v>
      </c>
      <c r="I801" s="33"/>
      <c r="J801" s="33"/>
      <c r="K801" s="33"/>
      <c r="L801" s="33"/>
      <c r="M801" s="54">
        <f t="shared" si="289"/>
        <v>0</v>
      </c>
      <c r="N801" s="54"/>
      <c r="O801" s="54"/>
      <c r="P801" s="54"/>
      <c r="Q801" s="68">
        <f t="shared" si="290"/>
        <v>0</v>
      </c>
      <c r="R801" s="68"/>
      <c r="S801" s="68"/>
      <c r="T801" s="68"/>
      <c r="U801" s="129"/>
      <c r="V801" s="33">
        <f t="shared" si="291"/>
        <v>5</v>
      </c>
      <c r="W801" s="130" t="s">
        <v>2283</v>
      </c>
    </row>
    <row r="802" s="4" customFormat="1" ht="26.25" customHeight="1" spans="1:23">
      <c r="A802" s="117">
        <v>604001</v>
      </c>
      <c r="B802" s="29" t="s">
        <v>2137</v>
      </c>
      <c r="C802" s="118" t="s">
        <v>3112</v>
      </c>
      <c r="D802" s="120" t="s">
        <v>3113</v>
      </c>
      <c r="E802" s="37" t="s">
        <v>3588</v>
      </c>
      <c r="F802" s="32" t="s">
        <v>3404</v>
      </c>
      <c r="G802" s="33">
        <f t="shared" si="288"/>
        <v>4.52</v>
      </c>
      <c r="H802" s="33">
        <v>4.52</v>
      </c>
      <c r="I802" s="33"/>
      <c r="J802" s="33"/>
      <c r="K802" s="33"/>
      <c r="L802" s="33"/>
      <c r="M802" s="54">
        <f t="shared" si="289"/>
        <v>0</v>
      </c>
      <c r="N802" s="54"/>
      <c r="O802" s="54"/>
      <c r="P802" s="54"/>
      <c r="Q802" s="68">
        <f t="shared" si="290"/>
        <v>0</v>
      </c>
      <c r="R802" s="68"/>
      <c r="S802" s="68"/>
      <c r="T802" s="68"/>
      <c r="U802" s="129"/>
      <c r="V802" s="70">
        <f t="shared" si="291"/>
        <v>4.52</v>
      </c>
      <c r="W802" s="130" t="s">
        <v>2283</v>
      </c>
    </row>
    <row r="803" s="4" customFormat="1" ht="26.25" customHeight="1" spans="1:23">
      <c r="A803" s="117">
        <v>604001</v>
      </c>
      <c r="B803" s="29" t="s">
        <v>2137</v>
      </c>
      <c r="C803" s="118" t="s">
        <v>3112</v>
      </c>
      <c r="D803" s="120" t="s">
        <v>3113</v>
      </c>
      <c r="E803" s="37" t="s">
        <v>3589</v>
      </c>
      <c r="F803" s="32" t="s">
        <v>3527</v>
      </c>
      <c r="G803" s="33">
        <f t="shared" si="288"/>
        <v>14.8</v>
      </c>
      <c r="H803" s="33">
        <v>14.8</v>
      </c>
      <c r="I803" s="33"/>
      <c r="J803" s="33"/>
      <c r="K803" s="33"/>
      <c r="L803" s="33"/>
      <c r="M803" s="54">
        <f t="shared" si="289"/>
        <v>0</v>
      </c>
      <c r="N803" s="54"/>
      <c r="O803" s="54"/>
      <c r="P803" s="54"/>
      <c r="Q803" s="68">
        <f t="shared" si="290"/>
        <v>0</v>
      </c>
      <c r="R803" s="68"/>
      <c r="S803" s="68"/>
      <c r="T803" s="68"/>
      <c r="U803" s="129"/>
      <c r="V803" s="70">
        <f t="shared" si="291"/>
        <v>14.8</v>
      </c>
      <c r="W803" s="130" t="s">
        <v>2283</v>
      </c>
    </row>
    <row r="804" s="4" customFormat="1" ht="26.25" customHeight="1" spans="1:23">
      <c r="A804" s="117">
        <v>604001</v>
      </c>
      <c r="B804" s="29" t="s">
        <v>2137</v>
      </c>
      <c r="C804" s="118" t="s">
        <v>3405</v>
      </c>
      <c r="D804" s="120" t="s">
        <v>3406</v>
      </c>
      <c r="E804" s="37" t="s">
        <v>3590</v>
      </c>
      <c r="F804" s="32" t="s">
        <v>3408</v>
      </c>
      <c r="G804" s="33">
        <f t="shared" si="288"/>
        <v>5</v>
      </c>
      <c r="H804" s="33">
        <v>5</v>
      </c>
      <c r="I804" s="33"/>
      <c r="J804" s="33"/>
      <c r="K804" s="33"/>
      <c r="L804" s="33"/>
      <c r="M804" s="54">
        <f t="shared" si="289"/>
        <v>0</v>
      </c>
      <c r="N804" s="54"/>
      <c r="O804" s="54"/>
      <c r="P804" s="54"/>
      <c r="Q804" s="68">
        <f t="shared" si="290"/>
        <v>0</v>
      </c>
      <c r="R804" s="68"/>
      <c r="S804" s="68"/>
      <c r="T804" s="68"/>
      <c r="U804" s="129"/>
      <c r="V804" s="70">
        <f t="shared" si="291"/>
        <v>5</v>
      </c>
      <c r="W804" s="130" t="s">
        <v>2283</v>
      </c>
    </row>
    <row r="805" s="4" customFormat="1" ht="26.25" customHeight="1" spans="1:23">
      <c r="A805" s="117">
        <v>604001</v>
      </c>
      <c r="B805" s="29" t="s">
        <v>2137</v>
      </c>
      <c r="C805" s="118" t="s">
        <v>3405</v>
      </c>
      <c r="D805" s="86" t="s">
        <v>3406</v>
      </c>
      <c r="E805" s="127" t="s">
        <v>3590</v>
      </c>
      <c r="F805" s="38" t="s">
        <v>3408</v>
      </c>
      <c r="G805" s="33">
        <f t="shared" si="288"/>
        <v>0</v>
      </c>
      <c r="H805" s="33"/>
      <c r="I805" s="33"/>
      <c r="J805" s="33"/>
      <c r="K805" s="33"/>
      <c r="L805" s="33"/>
      <c r="M805" s="54">
        <f t="shared" si="289"/>
        <v>0</v>
      </c>
      <c r="N805" s="54"/>
      <c r="O805" s="54"/>
      <c r="P805" s="54"/>
      <c r="Q805" s="68">
        <f t="shared" si="290"/>
        <v>2.277595</v>
      </c>
      <c r="R805" s="68"/>
      <c r="S805" s="68">
        <v>2.277595</v>
      </c>
      <c r="T805" s="68"/>
      <c r="U805" s="129"/>
      <c r="V805" s="68">
        <f t="shared" si="291"/>
        <v>2.277595</v>
      </c>
      <c r="W805" s="131" t="s">
        <v>3409</v>
      </c>
    </row>
    <row r="806" s="4" customFormat="1" ht="26.25" customHeight="1" spans="1:23">
      <c r="A806" s="117">
        <v>604001</v>
      </c>
      <c r="B806" s="29" t="s">
        <v>2137</v>
      </c>
      <c r="C806" s="118" t="s">
        <v>3405</v>
      </c>
      <c r="D806" s="82" t="s">
        <v>3406</v>
      </c>
      <c r="E806" s="37" t="s">
        <v>3591</v>
      </c>
      <c r="F806" s="32" t="s">
        <v>3412</v>
      </c>
      <c r="G806" s="33">
        <f t="shared" si="288"/>
        <v>9</v>
      </c>
      <c r="H806" s="33"/>
      <c r="I806" s="33"/>
      <c r="J806" s="33">
        <v>9</v>
      </c>
      <c r="K806" s="33"/>
      <c r="L806" s="33"/>
      <c r="M806" s="54">
        <f t="shared" si="289"/>
        <v>0</v>
      </c>
      <c r="N806" s="54">
        <v>-9</v>
      </c>
      <c r="O806" s="54">
        <v>9</v>
      </c>
      <c r="P806" s="54"/>
      <c r="Q806" s="68">
        <f t="shared" si="290"/>
        <v>0</v>
      </c>
      <c r="R806" s="68"/>
      <c r="S806" s="68"/>
      <c r="T806" s="68"/>
      <c r="U806" s="129"/>
      <c r="V806" s="54">
        <f t="shared" si="291"/>
        <v>9</v>
      </c>
      <c r="W806" s="92" t="s">
        <v>653</v>
      </c>
    </row>
    <row r="807" s="4" customFormat="1" ht="26.25" customHeight="1" spans="1:23">
      <c r="A807" s="117">
        <v>604001</v>
      </c>
      <c r="B807" s="29" t="s">
        <v>2137</v>
      </c>
      <c r="C807" s="35" t="s">
        <v>2814</v>
      </c>
      <c r="D807" s="76" t="s">
        <v>2815</v>
      </c>
      <c r="E807" s="127" t="s">
        <v>3592</v>
      </c>
      <c r="F807" s="35" t="s">
        <v>3535</v>
      </c>
      <c r="G807" s="33">
        <f t="shared" si="288"/>
        <v>0</v>
      </c>
      <c r="H807" s="33"/>
      <c r="I807" s="33"/>
      <c r="J807" s="33"/>
      <c r="K807" s="33"/>
      <c r="L807" s="33"/>
      <c r="M807" s="54">
        <f t="shared" si="289"/>
        <v>3</v>
      </c>
      <c r="N807" s="54"/>
      <c r="O807" s="54">
        <v>3</v>
      </c>
      <c r="P807" s="54"/>
      <c r="Q807" s="68">
        <f t="shared" si="290"/>
        <v>0</v>
      </c>
      <c r="R807" s="68"/>
      <c r="S807" s="68"/>
      <c r="T807" s="68"/>
      <c r="U807" s="129"/>
      <c r="V807" s="54">
        <f t="shared" si="291"/>
        <v>3</v>
      </c>
      <c r="W807" s="92" t="s">
        <v>500</v>
      </c>
    </row>
    <row r="808" s="4" customFormat="1" ht="26.25" customHeight="1" spans="1:23">
      <c r="A808" s="117">
        <v>604001</v>
      </c>
      <c r="B808" s="29" t="s">
        <v>2137</v>
      </c>
      <c r="C808" s="35" t="s">
        <v>2921</v>
      </c>
      <c r="D808" s="76" t="s">
        <v>2922</v>
      </c>
      <c r="E808" s="127" t="s">
        <v>3593</v>
      </c>
      <c r="F808" s="35" t="s">
        <v>2924</v>
      </c>
      <c r="G808" s="33">
        <f t="shared" si="288"/>
        <v>0</v>
      </c>
      <c r="H808" s="33"/>
      <c r="I808" s="33"/>
      <c r="J808" s="33"/>
      <c r="K808" s="33"/>
      <c r="L808" s="33"/>
      <c r="M808" s="54">
        <f t="shared" si="289"/>
        <v>250</v>
      </c>
      <c r="N808" s="54"/>
      <c r="O808" s="54">
        <v>250</v>
      </c>
      <c r="P808" s="54"/>
      <c r="Q808" s="68">
        <f t="shared" si="290"/>
        <v>0</v>
      </c>
      <c r="R808" s="68"/>
      <c r="S808" s="68"/>
      <c r="T808" s="68"/>
      <c r="U808" s="129"/>
      <c r="V808" s="54">
        <f t="shared" si="291"/>
        <v>250</v>
      </c>
      <c r="W808" s="92" t="s">
        <v>624</v>
      </c>
    </row>
    <row r="809" s="4" customFormat="1" ht="26.25" customHeight="1" spans="1:23">
      <c r="A809" s="117">
        <v>604001</v>
      </c>
      <c r="B809" s="29" t="s">
        <v>2137</v>
      </c>
      <c r="C809" s="118" t="s">
        <v>3594</v>
      </c>
      <c r="D809" s="119" t="s">
        <v>3595</v>
      </c>
      <c r="E809" s="30" t="s">
        <v>3596</v>
      </c>
      <c r="F809" s="32" t="s">
        <v>3597</v>
      </c>
      <c r="G809" s="33">
        <f t="shared" si="288"/>
        <v>20.46</v>
      </c>
      <c r="H809" s="33">
        <v>20.46</v>
      </c>
      <c r="I809" s="33"/>
      <c r="J809" s="33"/>
      <c r="K809" s="33"/>
      <c r="L809" s="33"/>
      <c r="M809" s="54">
        <f t="shared" si="289"/>
        <v>0</v>
      </c>
      <c r="N809" s="54"/>
      <c r="O809" s="54"/>
      <c r="P809" s="54"/>
      <c r="Q809" s="68">
        <f t="shared" si="290"/>
        <v>0</v>
      </c>
      <c r="R809" s="68"/>
      <c r="S809" s="68"/>
      <c r="T809" s="68"/>
      <c r="U809" s="129"/>
      <c r="V809" s="33">
        <f t="shared" si="291"/>
        <v>20.46</v>
      </c>
      <c r="W809" s="130" t="s">
        <v>2283</v>
      </c>
    </row>
    <row r="810" s="4" customFormat="1" ht="26.25" customHeight="1" spans="1:23">
      <c r="A810" s="117">
        <v>604001</v>
      </c>
      <c r="B810" s="29" t="s">
        <v>2137</v>
      </c>
      <c r="C810" s="118" t="s">
        <v>3284</v>
      </c>
      <c r="D810" s="120" t="s">
        <v>3285</v>
      </c>
      <c r="E810" s="37" t="s">
        <v>3598</v>
      </c>
      <c r="F810" s="32" t="s">
        <v>1058</v>
      </c>
      <c r="G810" s="33">
        <f t="shared" si="288"/>
        <v>180</v>
      </c>
      <c r="H810" s="33">
        <v>180</v>
      </c>
      <c r="I810" s="33"/>
      <c r="J810" s="33"/>
      <c r="K810" s="33"/>
      <c r="L810" s="33"/>
      <c r="M810" s="54">
        <f t="shared" si="289"/>
        <v>0</v>
      </c>
      <c r="N810" s="54"/>
      <c r="O810" s="54"/>
      <c r="P810" s="54"/>
      <c r="Q810" s="68">
        <f t="shared" si="290"/>
        <v>0</v>
      </c>
      <c r="R810" s="68"/>
      <c r="S810" s="68"/>
      <c r="T810" s="68"/>
      <c r="U810" s="129"/>
      <c r="V810" s="70">
        <f t="shared" si="291"/>
        <v>180</v>
      </c>
      <c r="W810" s="130" t="s">
        <v>2283</v>
      </c>
    </row>
    <row r="811" s="4" customFormat="1" ht="26.25" customHeight="1" spans="1:23">
      <c r="A811" s="117">
        <v>604001</v>
      </c>
      <c r="B811" s="29" t="s">
        <v>2137</v>
      </c>
      <c r="C811" s="118" t="s">
        <v>3296</v>
      </c>
      <c r="D811" s="120" t="s">
        <v>3294</v>
      </c>
      <c r="E811" s="37" t="s">
        <v>3599</v>
      </c>
      <c r="F811" s="32" t="s">
        <v>3545</v>
      </c>
      <c r="G811" s="33">
        <f t="shared" si="288"/>
        <v>27.42</v>
      </c>
      <c r="H811" s="33">
        <v>27.42</v>
      </c>
      <c r="I811" s="33"/>
      <c r="J811" s="33"/>
      <c r="K811" s="33"/>
      <c r="L811" s="33"/>
      <c r="M811" s="54">
        <f t="shared" si="289"/>
        <v>0</v>
      </c>
      <c r="N811" s="54"/>
      <c r="O811" s="54"/>
      <c r="P811" s="54"/>
      <c r="Q811" s="68">
        <f t="shared" si="290"/>
        <v>0</v>
      </c>
      <c r="R811" s="68"/>
      <c r="S811" s="68"/>
      <c r="T811" s="68"/>
      <c r="U811" s="129"/>
      <c r="V811" s="70">
        <f t="shared" si="291"/>
        <v>27.42</v>
      </c>
      <c r="W811" s="130" t="s">
        <v>2283</v>
      </c>
    </row>
    <row r="812" s="4" customFormat="1" ht="26.25" customHeight="1" spans="1:23">
      <c r="A812" s="117">
        <v>604001</v>
      </c>
      <c r="B812" s="29" t="s">
        <v>2137</v>
      </c>
      <c r="C812" s="118" t="s">
        <v>3296</v>
      </c>
      <c r="D812" s="120" t="s">
        <v>3294</v>
      </c>
      <c r="E812" s="37" t="s">
        <v>3600</v>
      </c>
      <c r="F812" s="32" t="s">
        <v>3294</v>
      </c>
      <c r="G812" s="33">
        <f t="shared" si="288"/>
        <v>50</v>
      </c>
      <c r="H812" s="33">
        <v>50</v>
      </c>
      <c r="I812" s="33"/>
      <c r="J812" s="33"/>
      <c r="K812" s="33"/>
      <c r="L812" s="33"/>
      <c r="M812" s="54">
        <f t="shared" si="289"/>
        <v>0</v>
      </c>
      <c r="N812" s="54"/>
      <c r="O812" s="54"/>
      <c r="P812" s="54"/>
      <c r="Q812" s="68">
        <f t="shared" si="290"/>
        <v>0</v>
      </c>
      <c r="R812" s="68"/>
      <c r="S812" s="68"/>
      <c r="T812" s="68"/>
      <c r="U812" s="129"/>
      <c r="V812" s="70">
        <f t="shared" si="291"/>
        <v>50</v>
      </c>
      <c r="W812" s="130" t="s">
        <v>2283</v>
      </c>
    </row>
    <row r="813" s="4" customFormat="1" ht="26.25" customHeight="1" spans="1:23">
      <c r="A813" s="117">
        <v>604001</v>
      </c>
      <c r="B813" s="29" t="s">
        <v>2137</v>
      </c>
      <c r="C813" s="118" t="s">
        <v>2617</v>
      </c>
      <c r="D813" s="120" t="s">
        <v>2618</v>
      </c>
      <c r="E813" s="37" t="s">
        <v>3601</v>
      </c>
      <c r="F813" s="32" t="s">
        <v>3423</v>
      </c>
      <c r="G813" s="33">
        <f t="shared" si="288"/>
        <v>47.2</v>
      </c>
      <c r="H813" s="33">
        <v>47.2</v>
      </c>
      <c r="I813" s="33"/>
      <c r="J813" s="33"/>
      <c r="K813" s="33"/>
      <c r="L813" s="33"/>
      <c r="M813" s="54">
        <f t="shared" si="289"/>
        <v>0</v>
      </c>
      <c r="N813" s="54"/>
      <c r="O813" s="54"/>
      <c r="P813" s="54"/>
      <c r="Q813" s="68">
        <f t="shared" si="290"/>
        <v>0</v>
      </c>
      <c r="R813" s="68"/>
      <c r="S813" s="68"/>
      <c r="T813" s="68"/>
      <c r="U813" s="129"/>
      <c r="V813" s="70">
        <f t="shared" si="291"/>
        <v>47.2</v>
      </c>
      <c r="W813" s="130" t="s">
        <v>2283</v>
      </c>
    </row>
    <row r="814" s="4" customFormat="1" ht="26.25" customHeight="1" spans="1:23">
      <c r="A814" s="117">
        <v>604001</v>
      </c>
      <c r="B814" s="29" t="s">
        <v>2137</v>
      </c>
      <c r="C814" s="118" t="s">
        <v>2617</v>
      </c>
      <c r="D814" s="120" t="s">
        <v>2618</v>
      </c>
      <c r="E814" s="37" t="s">
        <v>3602</v>
      </c>
      <c r="F814" s="32" t="s">
        <v>3554</v>
      </c>
      <c r="G814" s="33">
        <f t="shared" si="288"/>
        <v>54</v>
      </c>
      <c r="H814" s="33">
        <v>50.9</v>
      </c>
      <c r="I814" s="33">
        <v>3.1</v>
      </c>
      <c r="J814" s="33"/>
      <c r="K814" s="33"/>
      <c r="L814" s="33"/>
      <c r="M814" s="54">
        <f t="shared" si="289"/>
        <v>0</v>
      </c>
      <c r="N814" s="54"/>
      <c r="O814" s="54"/>
      <c r="P814" s="54"/>
      <c r="Q814" s="68">
        <f t="shared" si="290"/>
        <v>0</v>
      </c>
      <c r="R814" s="68"/>
      <c r="S814" s="68"/>
      <c r="T814" s="68"/>
      <c r="U814" s="129"/>
      <c r="V814" s="70">
        <f t="shared" si="291"/>
        <v>54</v>
      </c>
      <c r="W814" s="130" t="s">
        <v>2283</v>
      </c>
    </row>
    <row r="815" s="4" customFormat="1" ht="26.25" customHeight="1" spans="1:23">
      <c r="A815" s="117">
        <v>604001</v>
      </c>
      <c r="B815" s="29" t="s">
        <v>2137</v>
      </c>
      <c r="C815" s="118" t="s">
        <v>2617</v>
      </c>
      <c r="D815" s="86" t="s">
        <v>2618</v>
      </c>
      <c r="E815" s="37" t="s">
        <v>3602</v>
      </c>
      <c r="F815" s="86" t="s">
        <v>3554</v>
      </c>
      <c r="G815" s="33">
        <f t="shared" si="288"/>
        <v>0</v>
      </c>
      <c r="H815" s="33"/>
      <c r="I815" s="33"/>
      <c r="J815" s="33"/>
      <c r="K815" s="33"/>
      <c r="L815" s="33"/>
      <c r="M815" s="54">
        <f t="shared" si="289"/>
        <v>0</v>
      </c>
      <c r="N815" s="54"/>
      <c r="O815" s="54"/>
      <c r="P815" s="54"/>
      <c r="Q815" s="68">
        <f t="shared" si="290"/>
        <v>3.229449</v>
      </c>
      <c r="R815" s="68">
        <v>3.229449</v>
      </c>
      <c r="S815" s="68"/>
      <c r="T815" s="68"/>
      <c r="U815" s="129"/>
      <c r="V815" s="68">
        <f t="shared" si="291"/>
        <v>3.229449</v>
      </c>
      <c r="W815" s="91" t="s">
        <v>2498</v>
      </c>
    </row>
    <row r="816" s="4" customFormat="1" ht="26.25" customHeight="1" spans="1:23">
      <c r="A816" s="117">
        <v>604001</v>
      </c>
      <c r="B816" s="29" t="s">
        <v>2137</v>
      </c>
      <c r="C816" s="35" t="s">
        <v>3236</v>
      </c>
      <c r="D816" s="38" t="s">
        <v>3237</v>
      </c>
      <c r="E816" s="127" t="s">
        <v>3603</v>
      </c>
      <c r="F816" s="38" t="s">
        <v>3427</v>
      </c>
      <c r="G816" s="33">
        <f t="shared" si="288"/>
        <v>0</v>
      </c>
      <c r="H816" s="33"/>
      <c r="I816" s="33"/>
      <c r="J816" s="33"/>
      <c r="K816" s="33"/>
      <c r="L816" s="33"/>
      <c r="M816" s="54">
        <f t="shared" si="289"/>
        <v>0</v>
      </c>
      <c r="N816" s="54"/>
      <c r="O816" s="54"/>
      <c r="P816" s="54"/>
      <c r="Q816" s="68">
        <f t="shared" si="290"/>
        <v>43</v>
      </c>
      <c r="R816" s="68"/>
      <c r="S816" s="68">
        <v>43</v>
      </c>
      <c r="T816" s="68"/>
      <c r="U816" s="129"/>
      <c r="V816" s="68">
        <f t="shared" si="291"/>
        <v>43</v>
      </c>
      <c r="W816" s="91" t="s">
        <v>3428</v>
      </c>
    </row>
    <row r="817" s="4" customFormat="1" ht="26.25" customHeight="1" spans="1:23">
      <c r="A817" s="117">
        <v>604001</v>
      </c>
      <c r="B817" s="29" t="s">
        <v>2137</v>
      </c>
      <c r="C817" s="35" t="s">
        <v>3236</v>
      </c>
      <c r="D817" s="40" t="s">
        <v>3237</v>
      </c>
      <c r="E817" s="127" t="s">
        <v>3603</v>
      </c>
      <c r="F817" s="35" t="s">
        <v>3427</v>
      </c>
      <c r="G817" s="33">
        <f t="shared" si="288"/>
        <v>0</v>
      </c>
      <c r="H817" s="33"/>
      <c r="I817" s="33"/>
      <c r="J817" s="33"/>
      <c r="K817" s="55">
        <v>32</v>
      </c>
      <c r="L817" s="33"/>
      <c r="M817" s="54">
        <f t="shared" si="289"/>
        <v>0</v>
      </c>
      <c r="N817" s="54"/>
      <c r="O817" s="54"/>
      <c r="P817" s="54"/>
      <c r="Q817" s="68">
        <f t="shared" si="290"/>
        <v>0</v>
      </c>
      <c r="R817" s="68"/>
      <c r="S817" s="68"/>
      <c r="T817" s="68"/>
      <c r="U817" s="129"/>
      <c r="V817" s="33">
        <f t="shared" si="291"/>
        <v>32</v>
      </c>
      <c r="W817" s="130" t="s">
        <v>2283</v>
      </c>
    </row>
    <row r="818" s="4" customFormat="1" ht="26.25" customHeight="1" spans="1:23">
      <c r="A818" s="117">
        <v>604001</v>
      </c>
      <c r="B818" s="29" t="s">
        <v>2137</v>
      </c>
      <c r="C818" s="35" t="s">
        <v>3429</v>
      </c>
      <c r="D818" s="76" t="s">
        <v>3430</v>
      </c>
      <c r="E818" s="127" t="s">
        <v>3603</v>
      </c>
      <c r="F818" s="35" t="s">
        <v>3427</v>
      </c>
      <c r="G818" s="33">
        <f t="shared" si="288"/>
        <v>0</v>
      </c>
      <c r="H818" s="33"/>
      <c r="I818" s="33"/>
      <c r="J818" s="33"/>
      <c r="K818" s="33"/>
      <c r="L818" s="33"/>
      <c r="M818" s="54">
        <f t="shared" si="289"/>
        <v>16</v>
      </c>
      <c r="N818" s="54"/>
      <c r="O818" s="54">
        <v>16</v>
      </c>
      <c r="P818" s="54"/>
      <c r="Q818" s="68">
        <f t="shared" si="290"/>
        <v>0</v>
      </c>
      <c r="R818" s="68"/>
      <c r="S818" s="68"/>
      <c r="T818" s="68"/>
      <c r="U818" s="129"/>
      <c r="V818" s="54">
        <f t="shared" si="291"/>
        <v>16</v>
      </c>
      <c r="W818" s="92" t="s">
        <v>526</v>
      </c>
    </row>
    <row r="819" s="4" customFormat="1" ht="26.25" customHeight="1" spans="1:23">
      <c r="A819" s="117">
        <v>604001</v>
      </c>
      <c r="B819" s="29" t="s">
        <v>2137</v>
      </c>
      <c r="C819" s="118" t="s">
        <v>2342</v>
      </c>
      <c r="D819" s="86" t="s">
        <v>2343</v>
      </c>
      <c r="E819" s="127" t="s">
        <v>3604</v>
      </c>
      <c r="F819" s="38" t="s">
        <v>3432</v>
      </c>
      <c r="G819" s="33">
        <f t="shared" si="288"/>
        <v>0</v>
      </c>
      <c r="H819" s="33"/>
      <c r="I819" s="33"/>
      <c r="J819" s="33"/>
      <c r="K819" s="33"/>
      <c r="L819" s="33"/>
      <c r="M819" s="54">
        <f t="shared" si="289"/>
        <v>0</v>
      </c>
      <c r="N819" s="54"/>
      <c r="O819" s="54"/>
      <c r="P819" s="54"/>
      <c r="Q819" s="68">
        <f t="shared" si="290"/>
        <v>363.452</v>
      </c>
      <c r="R819" s="68">
        <v>363.452</v>
      </c>
      <c r="S819" s="68"/>
      <c r="T819" s="68"/>
      <c r="U819" s="129"/>
      <c r="V819" s="68">
        <f t="shared" si="291"/>
        <v>363.452</v>
      </c>
      <c r="W819" s="91" t="s">
        <v>2498</v>
      </c>
    </row>
    <row r="820" s="4" customFormat="1" ht="26.25" customHeight="1" spans="1:23">
      <c r="A820" s="117">
        <v>604001</v>
      </c>
      <c r="B820" s="29" t="s">
        <v>2137</v>
      </c>
      <c r="C820" s="118" t="s">
        <v>2342</v>
      </c>
      <c r="D820" s="120" t="s">
        <v>2343</v>
      </c>
      <c r="E820" s="37" t="s">
        <v>3604</v>
      </c>
      <c r="F820" s="48" t="s">
        <v>3605</v>
      </c>
      <c r="G820" s="33">
        <f t="shared" si="288"/>
        <v>449.9</v>
      </c>
      <c r="H820" s="33">
        <v>449.9</v>
      </c>
      <c r="I820" s="33"/>
      <c r="J820" s="33"/>
      <c r="K820" s="33"/>
      <c r="L820" s="33"/>
      <c r="M820" s="54">
        <f t="shared" si="289"/>
        <v>0</v>
      </c>
      <c r="N820" s="54"/>
      <c r="O820" s="54"/>
      <c r="P820" s="54"/>
      <c r="Q820" s="68">
        <f t="shared" si="290"/>
        <v>0</v>
      </c>
      <c r="R820" s="68"/>
      <c r="S820" s="68"/>
      <c r="T820" s="68"/>
      <c r="U820" s="129"/>
      <c r="V820" s="70">
        <f t="shared" si="291"/>
        <v>449.9</v>
      </c>
      <c r="W820" s="130" t="s">
        <v>2283</v>
      </c>
    </row>
    <row r="821" s="4" customFormat="1" ht="26.25" customHeight="1" spans="1:23">
      <c r="A821" s="117">
        <v>604001</v>
      </c>
      <c r="B821" s="29" t="s">
        <v>2137</v>
      </c>
      <c r="C821" s="118" t="s">
        <v>2342</v>
      </c>
      <c r="D821" s="120" t="s">
        <v>2343</v>
      </c>
      <c r="E821" s="37" t="s">
        <v>3606</v>
      </c>
      <c r="F821" s="48" t="s">
        <v>3434</v>
      </c>
      <c r="G821" s="33">
        <f t="shared" si="288"/>
        <v>76.8</v>
      </c>
      <c r="H821" s="33">
        <v>76.8</v>
      </c>
      <c r="I821" s="33"/>
      <c r="J821" s="33"/>
      <c r="K821" s="33"/>
      <c r="L821" s="33"/>
      <c r="M821" s="54">
        <f t="shared" si="289"/>
        <v>0</v>
      </c>
      <c r="N821" s="54"/>
      <c r="O821" s="54"/>
      <c r="P821" s="54"/>
      <c r="Q821" s="68">
        <f t="shared" si="290"/>
        <v>0</v>
      </c>
      <c r="R821" s="68"/>
      <c r="S821" s="68"/>
      <c r="T821" s="68"/>
      <c r="U821" s="129"/>
      <c r="V821" s="70">
        <f t="shared" si="291"/>
        <v>76.8</v>
      </c>
      <c r="W821" s="130" t="s">
        <v>2283</v>
      </c>
    </row>
    <row r="822" s="4" customFormat="1" ht="26.25" customHeight="1" spans="1:23">
      <c r="A822" s="117">
        <v>604001</v>
      </c>
      <c r="B822" s="29" t="s">
        <v>2137</v>
      </c>
      <c r="C822" s="118" t="s">
        <v>2342</v>
      </c>
      <c r="D822" s="120" t="s">
        <v>2343</v>
      </c>
      <c r="E822" s="37" t="s">
        <v>3607</v>
      </c>
      <c r="F822" s="48" t="s">
        <v>3438</v>
      </c>
      <c r="G822" s="33">
        <f t="shared" si="288"/>
        <v>321.8</v>
      </c>
      <c r="H822" s="33">
        <v>321.8</v>
      </c>
      <c r="I822" s="33"/>
      <c r="J822" s="33"/>
      <c r="K822" s="33"/>
      <c r="L822" s="33"/>
      <c r="M822" s="54">
        <f t="shared" si="289"/>
        <v>0</v>
      </c>
      <c r="N822" s="54"/>
      <c r="O822" s="54"/>
      <c r="P822" s="54"/>
      <c r="Q822" s="68">
        <f t="shared" si="290"/>
        <v>0</v>
      </c>
      <c r="R822" s="68"/>
      <c r="S822" s="68"/>
      <c r="T822" s="68"/>
      <c r="U822" s="129"/>
      <c r="V822" s="70">
        <f t="shared" si="291"/>
        <v>321.8</v>
      </c>
      <c r="W822" s="130" t="s">
        <v>2283</v>
      </c>
    </row>
    <row r="823" s="4" customFormat="1" ht="26.25" customHeight="1" spans="1:23">
      <c r="A823" s="117">
        <v>604001</v>
      </c>
      <c r="B823" s="29" t="s">
        <v>2137</v>
      </c>
      <c r="C823" s="118" t="s">
        <v>3307</v>
      </c>
      <c r="D823" s="120" t="s">
        <v>3308</v>
      </c>
      <c r="E823" s="37" t="s">
        <v>3608</v>
      </c>
      <c r="F823" s="32" t="s">
        <v>3446</v>
      </c>
      <c r="G823" s="33">
        <f t="shared" si="288"/>
        <v>17.5</v>
      </c>
      <c r="H823" s="33">
        <v>17.5</v>
      </c>
      <c r="I823" s="33"/>
      <c r="J823" s="33"/>
      <c r="K823" s="33"/>
      <c r="L823" s="33"/>
      <c r="M823" s="54">
        <f t="shared" si="289"/>
        <v>0</v>
      </c>
      <c r="N823" s="54"/>
      <c r="O823" s="54"/>
      <c r="P823" s="54"/>
      <c r="Q823" s="68">
        <f t="shared" si="290"/>
        <v>0</v>
      </c>
      <c r="R823" s="68"/>
      <c r="S823" s="68"/>
      <c r="T823" s="68"/>
      <c r="U823" s="129"/>
      <c r="V823" s="70">
        <f t="shared" si="291"/>
        <v>17.5</v>
      </c>
      <c r="W823" s="130" t="s">
        <v>2283</v>
      </c>
    </row>
    <row r="824" s="4" customFormat="1" ht="26.25" customHeight="1" spans="1:23">
      <c r="A824" s="117">
        <v>604001</v>
      </c>
      <c r="B824" s="29" t="s">
        <v>2137</v>
      </c>
      <c r="C824" s="35" t="s">
        <v>3565</v>
      </c>
      <c r="D824" s="132" t="s">
        <v>3566</v>
      </c>
      <c r="E824" s="127" t="s">
        <v>3609</v>
      </c>
      <c r="F824" s="35" t="s">
        <v>3570</v>
      </c>
      <c r="G824" s="33">
        <f t="shared" si="288"/>
        <v>0</v>
      </c>
      <c r="H824" s="33"/>
      <c r="I824" s="33"/>
      <c r="J824" s="33"/>
      <c r="K824" s="55">
        <v>36</v>
      </c>
      <c r="L824" s="33"/>
      <c r="M824" s="54">
        <f t="shared" si="289"/>
        <v>0</v>
      </c>
      <c r="N824" s="54"/>
      <c r="O824" s="54"/>
      <c r="P824" s="54"/>
      <c r="Q824" s="68">
        <f t="shared" si="290"/>
        <v>0</v>
      </c>
      <c r="R824" s="68"/>
      <c r="S824" s="68"/>
      <c r="T824" s="68"/>
      <c r="U824" s="129"/>
      <c r="V824" s="70">
        <f t="shared" si="291"/>
        <v>36</v>
      </c>
      <c r="W824" s="130" t="s">
        <v>2283</v>
      </c>
    </row>
    <row r="825" s="4" customFormat="1" ht="26.25" customHeight="1" spans="1:23">
      <c r="A825" s="117">
        <v>604001</v>
      </c>
      <c r="B825" s="29" t="s">
        <v>2137</v>
      </c>
      <c r="C825" s="35" t="s">
        <v>3565</v>
      </c>
      <c r="D825" s="47" t="s">
        <v>3566</v>
      </c>
      <c r="E825" s="127" t="s">
        <v>3610</v>
      </c>
      <c r="F825" s="35" t="s">
        <v>3568</v>
      </c>
      <c r="G825" s="33">
        <f t="shared" si="288"/>
        <v>0</v>
      </c>
      <c r="H825" s="33"/>
      <c r="I825" s="33"/>
      <c r="J825" s="33"/>
      <c r="K825" s="55">
        <v>10</v>
      </c>
      <c r="L825" s="33"/>
      <c r="M825" s="54">
        <f t="shared" si="289"/>
        <v>0</v>
      </c>
      <c r="N825" s="54"/>
      <c r="O825" s="54"/>
      <c r="P825" s="54"/>
      <c r="Q825" s="68">
        <f t="shared" si="290"/>
        <v>0</v>
      </c>
      <c r="R825" s="68"/>
      <c r="S825" s="68"/>
      <c r="T825" s="68"/>
      <c r="U825" s="129"/>
      <c r="V825" s="33">
        <f t="shared" si="291"/>
        <v>10</v>
      </c>
      <c r="W825" s="130" t="s">
        <v>2283</v>
      </c>
    </row>
    <row r="826" s="4" customFormat="1" ht="26.25" customHeight="1" spans="1:23">
      <c r="A826" s="115">
        <v>604002</v>
      </c>
      <c r="B826" s="23" t="s">
        <v>1394</v>
      </c>
      <c r="C826" s="116"/>
      <c r="D826" s="116"/>
      <c r="E826" s="84"/>
      <c r="F826" s="26"/>
      <c r="G826" s="27">
        <f t="shared" ref="G826:V826" si="292">SUM(G827:G832)</f>
        <v>45</v>
      </c>
      <c r="H826" s="27">
        <f t="shared" si="292"/>
        <v>45</v>
      </c>
      <c r="I826" s="27">
        <f t="shared" si="292"/>
        <v>0</v>
      </c>
      <c r="J826" s="27">
        <f t="shared" si="292"/>
        <v>0</v>
      </c>
      <c r="K826" s="27">
        <f t="shared" si="292"/>
        <v>0</v>
      </c>
      <c r="L826" s="27">
        <f t="shared" si="292"/>
        <v>0</v>
      </c>
      <c r="M826" s="27">
        <f t="shared" si="292"/>
        <v>0</v>
      </c>
      <c r="N826" s="27">
        <f t="shared" si="292"/>
        <v>0</v>
      </c>
      <c r="O826" s="27">
        <f t="shared" si="292"/>
        <v>0</v>
      </c>
      <c r="P826" s="27">
        <f t="shared" si="292"/>
        <v>0</v>
      </c>
      <c r="Q826" s="27">
        <f t="shared" si="292"/>
        <v>59</v>
      </c>
      <c r="R826" s="27">
        <f t="shared" si="292"/>
        <v>0</v>
      </c>
      <c r="S826" s="27">
        <f t="shared" si="292"/>
        <v>59</v>
      </c>
      <c r="T826" s="27">
        <f t="shared" si="292"/>
        <v>0</v>
      </c>
      <c r="U826" s="27">
        <f t="shared" si="292"/>
        <v>0</v>
      </c>
      <c r="V826" s="27">
        <f t="shared" si="292"/>
        <v>104</v>
      </c>
      <c r="W826" s="67"/>
    </row>
    <row r="827" s="4" customFormat="1" ht="26.25" customHeight="1" spans="1:23">
      <c r="A827" s="117">
        <v>604002</v>
      </c>
      <c r="B827" s="29" t="s">
        <v>2149</v>
      </c>
      <c r="C827" s="35" t="s">
        <v>2546</v>
      </c>
      <c r="D827" s="38" t="s">
        <v>2547</v>
      </c>
      <c r="E827" s="121" t="s">
        <v>3611</v>
      </c>
      <c r="F827" s="38" t="s">
        <v>3454</v>
      </c>
      <c r="G827" s="33">
        <f t="shared" ref="G827:G832" si="293">SUM(H827:J827)</f>
        <v>0</v>
      </c>
      <c r="H827" s="33"/>
      <c r="I827" s="33"/>
      <c r="J827" s="33"/>
      <c r="K827" s="33"/>
      <c r="L827" s="33"/>
      <c r="M827" s="54">
        <f t="shared" ref="M827:M832" si="294">N827+O827-P827</f>
        <v>0</v>
      </c>
      <c r="N827" s="54"/>
      <c r="O827" s="54"/>
      <c r="P827" s="54"/>
      <c r="Q827" s="68">
        <f t="shared" ref="Q827:Q832" si="295">R827+S827-T827</f>
        <v>10</v>
      </c>
      <c r="R827" s="68"/>
      <c r="S827" s="68">
        <v>10</v>
      </c>
      <c r="T827" s="68"/>
      <c r="U827" s="129"/>
      <c r="V827" s="68">
        <f t="shared" ref="V827:V832" si="296">G827+K827+L827+M827+Q827-U827</f>
        <v>10</v>
      </c>
      <c r="W827" s="91" t="s">
        <v>2550</v>
      </c>
    </row>
    <row r="828" s="4" customFormat="1" ht="26.25" customHeight="1" spans="1:23">
      <c r="A828" s="117">
        <v>604002</v>
      </c>
      <c r="B828" s="29" t="s">
        <v>2149</v>
      </c>
      <c r="C828" s="35" t="s">
        <v>3455</v>
      </c>
      <c r="D828" s="38" t="s">
        <v>3456</v>
      </c>
      <c r="E828" s="121" t="s">
        <v>3611</v>
      </c>
      <c r="F828" s="38" t="s">
        <v>3454</v>
      </c>
      <c r="G828" s="33">
        <f t="shared" si="293"/>
        <v>0</v>
      </c>
      <c r="H828" s="33"/>
      <c r="I828" s="33"/>
      <c r="J828" s="33"/>
      <c r="K828" s="33"/>
      <c r="L828" s="33"/>
      <c r="M828" s="54">
        <f t="shared" si="294"/>
        <v>0</v>
      </c>
      <c r="N828" s="54"/>
      <c r="O828" s="54"/>
      <c r="P828" s="54"/>
      <c r="Q828" s="68">
        <f t="shared" si="295"/>
        <v>7</v>
      </c>
      <c r="R828" s="68"/>
      <c r="S828" s="68">
        <v>7</v>
      </c>
      <c r="T828" s="68"/>
      <c r="U828" s="129"/>
      <c r="V828" s="68">
        <f t="shared" si="296"/>
        <v>7</v>
      </c>
      <c r="W828" s="91" t="s">
        <v>3457</v>
      </c>
    </row>
    <row r="829" s="4" customFormat="1" ht="26.25" customHeight="1" spans="1:23">
      <c r="A829" s="117">
        <v>604002</v>
      </c>
      <c r="B829" s="29" t="s">
        <v>2149</v>
      </c>
      <c r="C829" s="35" t="s">
        <v>3455</v>
      </c>
      <c r="D829" s="38" t="s">
        <v>3456</v>
      </c>
      <c r="E829" s="121" t="s">
        <v>3611</v>
      </c>
      <c r="F829" s="38" t="s">
        <v>3454</v>
      </c>
      <c r="G829" s="33">
        <f t="shared" si="293"/>
        <v>0</v>
      </c>
      <c r="H829" s="33"/>
      <c r="I829" s="33"/>
      <c r="J829" s="33"/>
      <c r="K829" s="33"/>
      <c r="L829" s="33"/>
      <c r="M829" s="54">
        <f t="shared" si="294"/>
        <v>0</v>
      </c>
      <c r="N829" s="54"/>
      <c r="O829" s="54"/>
      <c r="P829" s="54"/>
      <c r="Q829" s="68">
        <f t="shared" si="295"/>
        <v>32</v>
      </c>
      <c r="R829" s="68"/>
      <c r="S829" s="68">
        <v>32</v>
      </c>
      <c r="T829" s="68"/>
      <c r="U829" s="129"/>
      <c r="V829" s="68">
        <f t="shared" si="296"/>
        <v>32</v>
      </c>
      <c r="W829" s="91" t="s">
        <v>3458</v>
      </c>
    </row>
    <row r="830" s="4" customFormat="1" ht="26.25" customHeight="1" spans="1:23">
      <c r="A830" s="117">
        <v>604002</v>
      </c>
      <c r="B830" s="29" t="s">
        <v>2149</v>
      </c>
      <c r="C830" s="118" t="s">
        <v>3455</v>
      </c>
      <c r="D830" s="119" t="s">
        <v>3456</v>
      </c>
      <c r="E830" s="30" t="s">
        <v>3611</v>
      </c>
      <c r="F830" s="32" t="s">
        <v>932</v>
      </c>
      <c r="G830" s="33">
        <f t="shared" si="293"/>
        <v>40</v>
      </c>
      <c r="H830" s="33">
        <v>40</v>
      </c>
      <c r="I830" s="33"/>
      <c r="J830" s="33"/>
      <c r="K830" s="33"/>
      <c r="L830" s="33"/>
      <c r="M830" s="54">
        <f t="shared" si="294"/>
        <v>0</v>
      </c>
      <c r="N830" s="54"/>
      <c r="O830" s="54"/>
      <c r="P830" s="54"/>
      <c r="Q830" s="68">
        <f t="shared" si="295"/>
        <v>0</v>
      </c>
      <c r="R830" s="68"/>
      <c r="S830" s="68"/>
      <c r="T830" s="68"/>
      <c r="U830" s="129"/>
      <c r="V830" s="33">
        <f t="shared" si="296"/>
        <v>40</v>
      </c>
      <c r="W830" s="130" t="s">
        <v>2283</v>
      </c>
    </row>
    <row r="831" s="4" customFormat="1" ht="26.25" customHeight="1" spans="1:23">
      <c r="A831" s="117">
        <v>604002</v>
      </c>
      <c r="B831" s="29" t="s">
        <v>2149</v>
      </c>
      <c r="C831" s="118" t="s">
        <v>3455</v>
      </c>
      <c r="D831" s="119" t="s">
        <v>3456</v>
      </c>
      <c r="E831" s="30" t="s">
        <v>3612</v>
      </c>
      <c r="F831" s="32" t="s">
        <v>2305</v>
      </c>
      <c r="G831" s="33">
        <f t="shared" si="293"/>
        <v>5</v>
      </c>
      <c r="H831" s="33">
        <v>5</v>
      </c>
      <c r="I831" s="33"/>
      <c r="J831" s="33"/>
      <c r="K831" s="33"/>
      <c r="L831" s="33"/>
      <c r="M831" s="54">
        <f t="shared" si="294"/>
        <v>0</v>
      </c>
      <c r="N831" s="54"/>
      <c r="O831" s="54"/>
      <c r="P831" s="54"/>
      <c r="Q831" s="68">
        <f t="shared" si="295"/>
        <v>0</v>
      </c>
      <c r="R831" s="68"/>
      <c r="S831" s="68"/>
      <c r="T831" s="68"/>
      <c r="U831" s="129"/>
      <c r="V831" s="33">
        <f t="shared" si="296"/>
        <v>5</v>
      </c>
      <c r="W831" s="130" t="s">
        <v>2283</v>
      </c>
    </row>
    <row r="832" s="4" customFormat="1" ht="26.25" customHeight="1" spans="1:23">
      <c r="A832" s="117">
        <v>604002</v>
      </c>
      <c r="B832" s="29" t="s">
        <v>2149</v>
      </c>
      <c r="C832" s="35" t="s">
        <v>2412</v>
      </c>
      <c r="D832" s="38" t="s">
        <v>2310</v>
      </c>
      <c r="E832" s="121" t="s">
        <v>3613</v>
      </c>
      <c r="F832" s="38" t="s">
        <v>3464</v>
      </c>
      <c r="G832" s="33">
        <f t="shared" si="293"/>
        <v>0</v>
      </c>
      <c r="H832" s="33"/>
      <c r="I832" s="33"/>
      <c r="J832" s="33"/>
      <c r="K832" s="33"/>
      <c r="L832" s="33"/>
      <c r="M832" s="54">
        <f t="shared" si="294"/>
        <v>0</v>
      </c>
      <c r="N832" s="54"/>
      <c r="O832" s="54"/>
      <c r="P832" s="54"/>
      <c r="Q832" s="68">
        <f t="shared" si="295"/>
        <v>10</v>
      </c>
      <c r="R832" s="68"/>
      <c r="S832" s="68">
        <v>10</v>
      </c>
      <c r="T832" s="68"/>
      <c r="U832" s="129"/>
      <c r="V832" s="68">
        <f t="shared" si="296"/>
        <v>10</v>
      </c>
      <c r="W832" s="91" t="s">
        <v>3465</v>
      </c>
    </row>
    <row r="833" s="4" customFormat="1" ht="26.25" customHeight="1" spans="1:23">
      <c r="A833" s="115">
        <v>605001</v>
      </c>
      <c r="B833" s="23" t="s">
        <v>1396</v>
      </c>
      <c r="C833" s="116"/>
      <c r="D833" s="116"/>
      <c r="E833" s="84"/>
      <c r="F833" s="26"/>
      <c r="G833" s="27">
        <f t="shared" ref="G833:V833" si="297">SUM(G834:G861)</f>
        <v>560</v>
      </c>
      <c r="H833" s="27">
        <f t="shared" si="297"/>
        <v>390.4</v>
      </c>
      <c r="I833" s="27">
        <f t="shared" si="297"/>
        <v>150</v>
      </c>
      <c r="J833" s="27">
        <f t="shared" si="297"/>
        <v>19.6</v>
      </c>
      <c r="K833" s="27">
        <f t="shared" si="297"/>
        <v>40</v>
      </c>
      <c r="L833" s="27">
        <f t="shared" si="297"/>
        <v>0</v>
      </c>
      <c r="M833" s="27">
        <f t="shared" si="297"/>
        <v>2.4</v>
      </c>
      <c r="N833" s="27">
        <f t="shared" si="297"/>
        <v>-19.6</v>
      </c>
      <c r="O833" s="27">
        <f t="shared" si="297"/>
        <v>22</v>
      </c>
      <c r="P833" s="27">
        <f t="shared" si="297"/>
        <v>0</v>
      </c>
      <c r="Q833" s="27">
        <f t="shared" si="297"/>
        <v>54</v>
      </c>
      <c r="R833" s="27">
        <f t="shared" si="297"/>
        <v>0</v>
      </c>
      <c r="S833" s="27">
        <f t="shared" si="297"/>
        <v>54</v>
      </c>
      <c r="T833" s="27">
        <f t="shared" si="297"/>
        <v>0</v>
      </c>
      <c r="U833" s="27">
        <f t="shared" si="297"/>
        <v>2.87</v>
      </c>
      <c r="V833" s="27">
        <f t="shared" si="297"/>
        <v>653.53</v>
      </c>
      <c r="W833" s="67"/>
    </row>
    <row r="834" s="4" customFormat="1" ht="26.25" customHeight="1" spans="1:23">
      <c r="A834" s="117">
        <v>605001</v>
      </c>
      <c r="B834" s="29" t="s">
        <v>2160</v>
      </c>
      <c r="C834" s="118" t="s">
        <v>3382</v>
      </c>
      <c r="D834" s="119" t="s">
        <v>3383</v>
      </c>
      <c r="E834" s="30" t="s">
        <v>3614</v>
      </c>
      <c r="F834" s="32" t="s">
        <v>3385</v>
      </c>
      <c r="G834" s="33">
        <f t="shared" ref="G834:G861" si="298">SUM(H834:J834)</f>
        <v>5</v>
      </c>
      <c r="H834" s="33">
        <v>5</v>
      </c>
      <c r="I834" s="33"/>
      <c r="J834" s="33"/>
      <c r="K834" s="33"/>
      <c r="L834" s="33"/>
      <c r="M834" s="54">
        <f t="shared" ref="M834:M861" si="299">N834+O834-P834</f>
        <v>0</v>
      </c>
      <c r="N834" s="54"/>
      <c r="O834" s="54"/>
      <c r="P834" s="54"/>
      <c r="Q834" s="68">
        <f t="shared" ref="Q834:Q861" si="300">R834+S834-T834</f>
        <v>0</v>
      </c>
      <c r="R834" s="68"/>
      <c r="S834" s="68"/>
      <c r="T834" s="68"/>
      <c r="U834" s="129"/>
      <c r="V834" s="33">
        <f t="shared" ref="V834:V861" si="301">G834+K834+L834+M834+Q834-U834</f>
        <v>5</v>
      </c>
      <c r="W834" s="130" t="s">
        <v>2283</v>
      </c>
    </row>
    <row r="835" s="4" customFormat="1" ht="26.25" customHeight="1" spans="1:23">
      <c r="A835" s="117">
        <v>605001</v>
      </c>
      <c r="B835" s="29" t="s">
        <v>2160</v>
      </c>
      <c r="C835" s="35" t="s">
        <v>1438</v>
      </c>
      <c r="D835" s="40" t="s">
        <v>1439</v>
      </c>
      <c r="E835" s="121" t="s">
        <v>3615</v>
      </c>
      <c r="F835" s="35" t="s">
        <v>1087</v>
      </c>
      <c r="G835" s="33">
        <f t="shared" si="298"/>
        <v>0</v>
      </c>
      <c r="H835" s="33"/>
      <c r="I835" s="33"/>
      <c r="J835" s="33"/>
      <c r="K835" s="55">
        <v>25</v>
      </c>
      <c r="L835" s="33"/>
      <c r="M835" s="54">
        <f t="shared" si="299"/>
        <v>0</v>
      </c>
      <c r="N835" s="54"/>
      <c r="O835" s="54"/>
      <c r="P835" s="54"/>
      <c r="Q835" s="68">
        <f t="shared" si="300"/>
        <v>0</v>
      </c>
      <c r="R835" s="68"/>
      <c r="S835" s="68"/>
      <c r="T835" s="68"/>
      <c r="U835" s="129"/>
      <c r="V835" s="33">
        <f t="shared" si="301"/>
        <v>25</v>
      </c>
      <c r="W835" s="130" t="s">
        <v>2283</v>
      </c>
    </row>
    <row r="836" s="4" customFormat="1" ht="26.25" customHeight="1" spans="1:23">
      <c r="A836" s="117">
        <v>605001</v>
      </c>
      <c r="B836" s="29" t="s">
        <v>2160</v>
      </c>
      <c r="C836" s="118" t="s">
        <v>2280</v>
      </c>
      <c r="D836" s="119" t="s">
        <v>2083</v>
      </c>
      <c r="E836" s="30" t="s">
        <v>3616</v>
      </c>
      <c r="F836" s="32" t="s">
        <v>2305</v>
      </c>
      <c r="G836" s="33">
        <f t="shared" si="298"/>
        <v>13.6</v>
      </c>
      <c r="H836" s="33">
        <v>13.6</v>
      </c>
      <c r="I836" s="33"/>
      <c r="J836" s="33"/>
      <c r="K836" s="33"/>
      <c r="L836" s="33"/>
      <c r="M836" s="54">
        <f t="shared" si="299"/>
        <v>0</v>
      </c>
      <c r="N836" s="54"/>
      <c r="O836" s="54"/>
      <c r="P836" s="54"/>
      <c r="Q836" s="68">
        <f t="shared" si="300"/>
        <v>0</v>
      </c>
      <c r="R836" s="68"/>
      <c r="S836" s="68"/>
      <c r="T836" s="68"/>
      <c r="U836" s="129">
        <v>2</v>
      </c>
      <c r="V836" s="33">
        <f t="shared" si="301"/>
        <v>11.6</v>
      </c>
      <c r="W836" s="130" t="s">
        <v>2283</v>
      </c>
    </row>
    <row r="837" s="4" customFormat="1" ht="26.25" customHeight="1" spans="1:23">
      <c r="A837" s="117">
        <v>605001</v>
      </c>
      <c r="B837" s="29" t="s">
        <v>2160</v>
      </c>
      <c r="C837" s="118" t="s">
        <v>2280</v>
      </c>
      <c r="D837" s="119" t="s">
        <v>2083</v>
      </c>
      <c r="E837" s="30" t="s">
        <v>3617</v>
      </c>
      <c r="F837" s="32" t="s">
        <v>2285</v>
      </c>
      <c r="G837" s="33">
        <f t="shared" si="298"/>
        <v>10</v>
      </c>
      <c r="H837" s="33">
        <v>10</v>
      </c>
      <c r="I837" s="33"/>
      <c r="J837" s="33"/>
      <c r="K837" s="33"/>
      <c r="L837" s="33"/>
      <c r="M837" s="54">
        <f t="shared" si="299"/>
        <v>0</v>
      </c>
      <c r="N837" s="54"/>
      <c r="O837" s="54"/>
      <c r="P837" s="54"/>
      <c r="Q837" s="68">
        <f t="shared" si="300"/>
        <v>0</v>
      </c>
      <c r="R837" s="68"/>
      <c r="S837" s="68"/>
      <c r="T837" s="68"/>
      <c r="U837" s="129"/>
      <c r="V837" s="33">
        <f t="shared" si="301"/>
        <v>10</v>
      </c>
      <c r="W837" s="130" t="s">
        <v>2283</v>
      </c>
    </row>
    <row r="838" s="4" customFormat="1" ht="26.25" customHeight="1" spans="1:23">
      <c r="A838" s="117">
        <v>605001</v>
      </c>
      <c r="B838" s="29" t="s">
        <v>2160</v>
      </c>
      <c r="C838" s="118" t="s">
        <v>2280</v>
      </c>
      <c r="D838" s="119" t="s">
        <v>2083</v>
      </c>
      <c r="E838" s="30" t="s">
        <v>3618</v>
      </c>
      <c r="F838" s="32" t="s">
        <v>3394</v>
      </c>
      <c r="G838" s="33">
        <f t="shared" si="298"/>
        <v>2.4</v>
      </c>
      <c r="H838" s="33">
        <v>2.4</v>
      </c>
      <c r="I838" s="33"/>
      <c r="J838" s="33"/>
      <c r="K838" s="33"/>
      <c r="L838" s="33"/>
      <c r="M838" s="54">
        <f t="shared" si="299"/>
        <v>0</v>
      </c>
      <c r="N838" s="54"/>
      <c r="O838" s="54"/>
      <c r="P838" s="54"/>
      <c r="Q838" s="68">
        <f t="shared" si="300"/>
        <v>0</v>
      </c>
      <c r="R838" s="68"/>
      <c r="S838" s="68"/>
      <c r="T838" s="68"/>
      <c r="U838" s="129"/>
      <c r="V838" s="33">
        <f t="shared" si="301"/>
        <v>2.4</v>
      </c>
      <c r="W838" s="130" t="s">
        <v>2283</v>
      </c>
    </row>
    <row r="839" s="4" customFormat="1" ht="26.25" customHeight="1" spans="1:23">
      <c r="A839" s="117">
        <v>605001</v>
      </c>
      <c r="B839" s="29" t="s">
        <v>2160</v>
      </c>
      <c r="C839" s="118" t="s">
        <v>2280</v>
      </c>
      <c r="D839" s="119" t="s">
        <v>2083</v>
      </c>
      <c r="E839" s="30" t="s">
        <v>3619</v>
      </c>
      <c r="F839" s="32" t="s">
        <v>3388</v>
      </c>
      <c r="G839" s="33">
        <f t="shared" si="298"/>
        <v>2</v>
      </c>
      <c r="H839" s="33">
        <v>2</v>
      </c>
      <c r="I839" s="33"/>
      <c r="J839" s="33"/>
      <c r="K839" s="33"/>
      <c r="L839" s="33"/>
      <c r="M839" s="54">
        <f t="shared" si="299"/>
        <v>0</v>
      </c>
      <c r="N839" s="54"/>
      <c r="O839" s="54"/>
      <c r="P839" s="54"/>
      <c r="Q839" s="68">
        <f t="shared" si="300"/>
        <v>0</v>
      </c>
      <c r="R839" s="68"/>
      <c r="S839" s="68"/>
      <c r="T839" s="68"/>
      <c r="U839" s="129"/>
      <c r="V839" s="33">
        <f t="shared" si="301"/>
        <v>2</v>
      </c>
      <c r="W839" s="130" t="s">
        <v>2283</v>
      </c>
    </row>
    <row r="840" s="4" customFormat="1" ht="26.25" customHeight="1" spans="1:23">
      <c r="A840" s="117">
        <v>605001</v>
      </c>
      <c r="B840" s="29" t="s">
        <v>2160</v>
      </c>
      <c r="C840" s="118" t="s">
        <v>2280</v>
      </c>
      <c r="D840" s="119" t="s">
        <v>2083</v>
      </c>
      <c r="E840" s="30" t="s">
        <v>3620</v>
      </c>
      <c r="F840" s="32" t="s">
        <v>2288</v>
      </c>
      <c r="G840" s="33">
        <f t="shared" si="298"/>
        <v>2.4</v>
      </c>
      <c r="H840" s="33">
        <v>2.4</v>
      </c>
      <c r="I840" s="33"/>
      <c r="J840" s="33"/>
      <c r="K840" s="33"/>
      <c r="L840" s="33"/>
      <c r="M840" s="54">
        <f t="shared" si="299"/>
        <v>0</v>
      </c>
      <c r="N840" s="54"/>
      <c r="O840" s="54"/>
      <c r="P840" s="54"/>
      <c r="Q840" s="68">
        <f t="shared" si="300"/>
        <v>0</v>
      </c>
      <c r="R840" s="68"/>
      <c r="S840" s="68"/>
      <c r="T840" s="68"/>
      <c r="U840" s="129">
        <v>0.87</v>
      </c>
      <c r="V840" s="33">
        <f t="shared" si="301"/>
        <v>1.53</v>
      </c>
      <c r="W840" s="130" t="s">
        <v>2283</v>
      </c>
    </row>
    <row r="841" s="4" customFormat="1" ht="26.25" customHeight="1" spans="1:23">
      <c r="A841" s="117">
        <v>605001</v>
      </c>
      <c r="B841" s="29" t="s">
        <v>2160</v>
      </c>
      <c r="C841" s="118" t="s">
        <v>2280</v>
      </c>
      <c r="D841" s="29" t="s">
        <v>2083</v>
      </c>
      <c r="E841" s="30" t="s">
        <v>3621</v>
      </c>
      <c r="F841" s="32" t="s">
        <v>1080</v>
      </c>
      <c r="G841" s="33">
        <f t="shared" si="298"/>
        <v>150</v>
      </c>
      <c r="H841" s="33"/>
      <c r="I841" s="33">
        <v>150</v>
      </c>
      <c r="J841" s="33"/>
      <c r="K841" s="33"/>
      <c r="L841" s="33"/>
      <c r="M841" s="54">
        <f t="shared" si="299"/>
        <v>0</v>
      </c>
      <c r="N841" s="54"/>
      <c r="O841" s="54"/>
      <c r="P841" s="54"/>
      <c r="Q841" s="68">
        <f t="shared" si="300"/>
        <v>0</v>
      </c>
      <c r="R841" s="68"/>
      <c r="S841" s="68"/>
      <c r="T841" s="68"/>
      <c r="U841" s="129"/>
      <c r="V841" s="33">
        <f t="shared" si="301"/>
        <v>150</v>
      </c>
      <c r="W841" s="130" t="s">
        <v>2283</v>
      </c>
    </row>
    <row r="842" s="4" customFormat="1" ht="26.25" customHeight="1" spans="1:23">
      <c r="A842" s="117">
        <v>605001</v>
      </c>
      <c r="B842" s="29" t="s">
        <v>2160</v>
      </c>
      <c r="C842" s="118" t="s">
        <v>2280</v>
      </c>
      <c r="D842" s="120" t="s">
        <v>2083</v>
      </c>
      <c r="E842" s="37" t="s">
        <v>3622</v>
      </c>
      <c r="F842" s="32" t="s">
        <v>3396</v>
      </c>
      <c r="G842" s="33">
        <f t="shared" si="298"/>
        <v>55.84</v>
      </c>
      <c r="H842" s="33">
        <v>55.84</v>
      </c>
      <c r="I842" s="33"/>
      <c r="J842" s="33"/>
      <c r="K842" s="33"/>
      <c r="L842" s="33"/>
      <c r="M842" s="54">
        <f t="shared" si="299"/>
        <v>0</v>
      </c>
      <c r="N842" s="54"/>
      <c r="O842" s="54"/>
      <c r="P842" s="54"/>
      <c r="Q842" s="68">
        <f t="shared" si="300"/>
        <v>0</v>
      </c>
      <c r="R842" s="68"/>
      <c r="S842" s="68"/>
      <c r="T842" s="68"/>
      <c r="U842" s="129"/>
      <c r="V842" s="70">
        <f t="shared" si="301"/>
        <v>55.84</v>
      </c>
      <c r="W842" s="130" t="s">
        <v>2283</v>
      </c>
    </row>
    <row r="843" s="4" customFormat="1" ht="26.25" customHeight="1" spans="1:23">
      <c r="A843" s="117">
        <v>605001</v>
      </c>
      <c r="B843" s="29" t="s">
        <v>2160</v>
      </c>
      <c r="C843" s="118" t="s">
        <v>2280</v>
      </c>
      <c r="D843" s="119" t="s">
        <v>2083</v>
      </c>
      <c r="E843" s="30" t="s">
        <v>3623</v>
      </c>
      <c r="F843" s="32" t="s">
        <v>933</v>
      </c>
      <c r="G843" s="33">
        <f t="shared" si="298"/>
        <v>5</v>
      </c>
      <c r="H843" s="33">
        <v>5</v>
      </c>
      <c r="I843" s="33"/>
      <c r="J843" s="33"/>
      <c r="K843" s="33"/>
      <c r="L843" s="33"/>
      <c r="M843" s="54">
        <f t="shared" si="299"/>
        <v>0</v>
      </c>
      <c r="N843" s="54"/>
      <c r="O843" s="54"/>
      <c r="P843" s="54"/>
      <c r="Q843" s="68">
        <f t="shared" si="300"/>
        <v>0</v>
      </c>
      <c r="R843" s="68"/>
      <c r="S843" s="68"/>
      <c r="T843" s="68"/>
      <c r="U843" s="129"/>
      <c r="V843" s="33">
        <f t="shared" si="301"/>
        <v>5</v>
      </c>
      <c r="W843" s="130" t="s">
        <v>2283</v>
      </c>
    </row>
    <row r="844" s="4" customFormat="1" ht="26.25" customHeight="1" spans="1:23">
      <c r="A844" s="117">
        <v>605001</v>
      </c>
      <c r="B844" s="29" t="s">
        <v>2160</v>
      </c>
      <c r="C844" s="35" t="s">
        <v>2546</v>
      </c>
      <c r="D844" s="38" t="s">
        <v>2547</v>
      </c>
      <c r="E844" s="121" t="s">
        <v>3624</v>
      </c>
      <c r="F844" s="38" t="s">
        <v>3454</v>
      </c>
      <c r="G844" s="33">
        <f t="shared" si="298"/>
        <v>0</v>
      </c>
      <c r="H844" s="33"/>
      <c r="I844" s="33"/>
      <c r="J844" s="33"/>
      <c r="K844" s="33"/>
      <c r="L844" s="33"/>
      <c r="M844" s="54">
        <f t="shared" si="299"/>
        <v>0</v>
      </c>
      <c r="N844" s="54"/>
      <c r="O844" s="54"/>
      <c r="P844" s="54"/>
      <c r="Q844" s="68">
        <f t="shared" si="300"/>
        <v>5</v>
      </c>
      <c r="R844" s="68"/>
      <c r="S844" s="68">
        <v>5</v>
      </c>
      <c r="T844" s="68"/>
      <c r="U844" s="129"/>
      <c r="V844" s="68">
        <f t="shared" si="301"/>
        <v>5</v>
      </c>
      <c r="W844" s="91" t="s">
        <v>2550</v>
      </c>
    </row>
    <row r="845" s="4" customFormat="1" ht="26.25" customHeight="1" spans="1:23">
      <c r="A845" s="117">
        <v>605001</v>
      </c>
      <c r="B845" s="29" t="s">
        <v>2160</v>
      </c>
      <c r="C845" s="118" t="s">
        <v>3455</v>
      </c>
      <c r="D845" s="86" t="s">
        <v>3456</v>
      </c>
      <c r="E845" s="121" t="s">
        <v>3624</v>
      </c>
      <c r="F845" s="38" t="s">
        <v>3454</v>
      </c>
      <c r="G845" s="33">
        <f t="shared" si="298"/>
        <v>0</v>
      </c>
      <c r="H845" s="33"/>
      <c r="I845" s="33"/>
      <c r="J845" s="33"/>
      <c r="K845" s="33"/>
      <c r="L845" s="33"/>
      <c r="M845" s="54">
        <f t="shared" si="299"/>
        <v>0</v>
      </c>
      <c r="N845" s="54"/>
      <c r="O845" s="54"/>
      <c r="P845" s="54"/>
      <c r="Q845" s="68">
        <f t="shared" si="300"/>
        <v>12</v>
      </c>
      <c r="R845" s="68"/>
      <c r="S845" s="68">
        <v>12</v>
      </c>
      <c r="T845" s="68"/>
      <c r="U845" s="129"/>
      <c r="V845" s="68">
        <f t="shared" si="301"/>
        <v>12</v>
      </c>
      <c r="W845" s="91" t="s">
        <v>3458</v>
      </c>
    </row>
    <row r="846" s="4" customFormat="1" ht="26.25" customHeight="1" spans="1:23">
      <c r="A846" s="117">
        <v>605001</v>
      </c>
      <c r="B846" s="29" t="s">
        <v>2160</v>
      </c>
      <c r="C846" s="118" t="s">
        <v>3455</v>
      </c>
      <c r="D846" s="86" t="s">
        <v>3456</v>
      </c>
      <c r="E846" s="121" t="s">
        <v>3624</v>
      </c>
      <c r="F846" s="38" t="s">
        <v>3454</v>
      </c>
      <c r="G846" s="33">
        <f t="shared" si="298"/>
        <v>0</v>
      </c>
      <c r="H846" s="33"/>
      <c r="I846" s="33"/>
      <c r="J846" s="33"/>
      <c r="K846" s="33"/>
      <c r="L846" s="33"/>
      <c r="M846" s="54">
        <f t="shared" si="299"/>
        <v>0</v>
      </c>
      <c r="N846" s="54"/>
      <c r="O846" s="54"/>
      <c r="P846" s="54"/>
      <c r="Q846" s="68">
        <f t="shared" si="300"/>
        <v>3</v>
      </c>
      <c r="R846" s="68"/>
      <c r="S846" s="68">
        <v>3</v>
      </c>
      <c r="T846" s="68"/>
      <c r="U846" s="129"/>
      <c r="V846" s="68">
        <f t="shared" si="301"/>
        <v>3</v>
      </c>
      <c r="W846" s="91" t="s">
        <v>3457</v>
      </c>
    </row>
    <row r="847" s="4" customFormat="1" ht="26.25" customHeight="1" spans="1:23">
      <c r="A847" s="117">
        <v>605001</v>
      </c>
      <c r="B847" s="29" t="s">
        <v>2160</v>
      </c>
      <c r="C847" s="118" t="s">
        <v>3455</v>
      </c>
      <c r="D847" s="119" t="s">
        <v>3456</v>
      </c>
      <c r="E847" s="30" t="s">
        <v>3625</v>
      </c>
      <c r="F847" s="32" t="s">
        <v>932</v>
      </c>
      <c r="G847" s="33">
        <f t="shared" si="298"/>
        <v>18</v>
      </c>
      <c r="H847" s="33">
        <v>18</v>
      </c>
      <c r="I847" s="33"/>
      <c r="J847" s="33"/>
      <c r="K847" s="33"/>
      <c r="L847" s="33"/>
      <c r="M847" s="54">
        <f t="shared" si="299"/>
        <v>0</v>
      </c>
      <c r="N847" s="54"/>
      <c r="O847" s="54"/>
      <c r="P847" s="54"/>
      <c r="Q847" s="68">
        <f t="shared" si="300"/>
        <v>0</v>
      </c>
      <c r="R847" s="68"/>
      <c r="S847" s="68"/>
      <c r="T847" s="68"/>
      <c r="U847" s="129"/>
      <c r="V847" s="33">
        <f t="shared" si="301"/>
        <v>18</v>
      </c>
      <c r="W847" s="130" t="s">
        <v>2283</v>
      </c>
    </row>
    <row r="848" s="4" customFormat="1" ht="26.25" customHeight="1" spans="1:23">
      <c r="A848" s="117">
        <v>605001</v>
      </c>
      <c r="B848" s="29" t="s">
        <v>2160</v>
      </c>
      <c r="C848" s="118" t="s">
        <v>2307</v>
      </c>
      <c r="D848" s="119" t="s">
        <v>2308</v>
      </c>
      <c r="E848" s="30" t="s">
        <v>3626</v>
      </c>
      <c r="F848" s="32" t="s">
        <v>1037</v>
      </c>
      <c r="G848" s="33">
        <f t="shared" si="298"/>
        <v>5</v>
      </c>
      <c r="H848" s="33">
        <v>5</v>
      </c>
      <c r="I848" s="33"/>
      <c r="J848" s="33"/>
      <c r="K848" s="33"/>
      <c r="L848" s="33"/>
      <c r="M848" s="54">
        <f t="shared" si="299"/>
        <v>0</v>
      </c>
      <c r="N848" s="54"/>
      <c r="O848" s="54"/>
      <c r="P848" s="54"/>
      <c r="Q848" s="68">
        <f t="shared" si="300"/>
        <v>0</v>
      </c>
      <c r="R848" s="68"/>
      <c r="S848" s="68"/>
      <c r="T848" s="68"/>
      <c r="U848" s="129"/>
      <c r="V848" s="33">
        <f t="shared" si="301"/>
        <v>5</v>
      </c>
      <c r="W848" s="130" t="s">
        <v>2283</v>
      </c>
    </row>
    <row r="849" s="4" customFormat="1" ht="26.25" customHeight="1" spans="1:23">
      <c r="A849" s="117">
        <v>605001</v>
      </c>
      <c r="B849" s="29" t="s">
        <v>2160</v>
      </c>
      <c r="C849" s="35" t="s">
        <v>2921</v>
      </c>
      <c r="D849" s="76" t="s">
        <v>2922</v>
      </c>
      <c r="E849" s="127" t="s">
        <v>3627</v>
      </c>
      <c r="F849" s="35" t="s">
        <v>1106</v>
      </c>
      <c r="G849" s="33">
        <f t="shared" si="298"/>
        <v>0</v>
      </c>
      <c r="H849" s="33"/>
      <c r="I849" s="33"/>
      <c r="J849" s="33"/>
      <c r="K849" s="33"/>
      <c r="L849" s="33"/>
      <c r="M849" s="54">
        <f t="shared" si="299"/>
        <v>5</v>
      </c>
      <c r="N849" s="54"/>
      <c r="O849" s="54">
        <v>5</v>
      </c>
      <c r="P849" s="54"/>
      <c r="Q849" s="68">
        <f t="shared" si="300"/>
        <v>0</v>
      </c>
      <c r="R849" s="68"/>
      <c r="S849" s="68"/>
      <c r="T849" s="68"/>
      <c r="U849" s="129"/>
      <c r="V849" s="54">
        <f t="shared" si="301"/>
        <v>5</v>
      </c>
      <c r="W849" s="92" t="s">
        <v>624</v>
      </c>
    </row>
    <row r="850" s="4" customFormat="1" ht="26.25" customHeight="1" spans="1:23">
      <c r="A850" s="117">
        <v>605001</v>
      </c>
      <c r="B850" s="29" t="s">
        <v>2160</v>
      </c>
      <c r="C850" s="118" t="s">
        <v>3284</v>
      </c>
      <c r="D850" s="120" t="s">
        <v>3285</v>
      </c>
      <c r="E850" s="37" t="s">
        <v>3628</v>
      </c>
      <c r="F850" s="32" t="s">
        <v>1058</v>
      </c>
      <c r="G850" s="33">
        <f t="shared" si="298"/>
        <v>67.5</v>
      </c>
      <c r="H850" s="33">
        <v>67.5</v>
      </c>
      <c r="I850" s="33"/>
      <c r="J850" s="33"/>
      <c r="K850" s="33"/>
      <c r="L850" s="33"/>
      <c r="M850" s="54">
        <f t="shared" si="299"/>
        <v>0</v>
      </c>
      <c r="N850" s="54"/>
      <c r="O850" s="54"/>
      <c r="P850" s="54"/>
      <c r="Q850" s="68">
        <f t="shared" si="300"/>
        <v>0</v>
      </c>
      <c r="R850" s="68"/>
      <c r="S850" s="68"/>
      <c r="T850" s="68"/>
      <c r="U850" s="129"/>
      <c r="V850" s="70">
        <f t="shared" si="301"/>
        <v>67.5</v>
      </c>
      <c r="W850" s="130" t="s">
        <v>2283</v>
      </c>
    </row>
    <row r="851" s="4" customFormat="1" ht="26.25" customHeight="1" spans="1:23">
      <c r="A851" s="117">
        <v>605001</v>
      </c>
      <c r="B851" s="29" t="s">
        <v>2160</v>
      </c>
      <c r="C851" s="118" t="s">
        <v>3296</v>
      </c>
      <c r="D851" s="120" t="s">
        <v>3294</v>
      </c>
      <c r="E851" s="37" t="s">
        <v>3629</v>
      </c>
      <c r="F851" s="32" t="s">
        <v>3294</v>
      </c>
      <c r="G851" s="33">
        <f t="shared" si="298"/>
        <v>23.5</v>
      </c>
      <c r="H851" s="33">
        <v>23.5</v>
      </c>
      <c r="I851" s="33"/>
      <c r="J851" s="33"/>
      <c r="K851" s="33"/>
      <c r="L851" s="33"/>
      <c r="M851" s="54">
        <f t="shared" si="299"/>
        <v>0</v>
      </c>
      <c r="N851" s="54"/>
      <c r="O851" s="54"/>
      <c r="P851" s="54"/>
      <c r="Q851" s="68">
        <f t="shared" si="300"/>
        <v>0</v>
      </c>
      <c r="R851" s="68"/>
      <c r="S851" s="68"/>
      <c r="T851" s="68"/>
      <c r="U851" s="129"/>
      <c r="V851" s="70">
        <f t="shared" si="301"/>
        <v>23.5</v>
      </c>
      <c r="W851" s="130" t="s">
        <v>2283</v>
      </c>
    </row>
    <row r="852" s="4" customFormat="1" ht="26.25" customHeight="1" spans="1:23">
      <c r="A852" s="117">
        <v>605001</v>
      </c>
      <c r="B852" s="29" t="s">
        <v>2160</v>
      </c>
      <c r="C852" s="35" t="s">
        <v>3236</v>
      </c>
      <c r="D852" s="38" t="s">
        <v>3237</v>
      </c>
      <c r="E852" s="127" t="s">
        <v>3630</v>
      </c>
      <c r="F852" s="38" t="s">
        <v>3427</v>
      </c>
      <c r="G852" s="33">
        <f t="shared" si="298"/>
        <v>0</v>
      </c>
      <c r="H852" s="33"/>
      <c r="I852" s="33"/>
      <c r="J852" s="33"/>
      <c r="K852" s="33"/>
      <c r="L852" s="33"/>
      <c r="M852" s="54">
        <f t="shared" si="299"/>
        <v>0</v>
      </c>
      <c r="N852" s="54"/>
      <c r="O852" s="54"/>
      <c r="P852" s="54"/>
      <c r="Q852" s="68">
        <f t="shared" si="300"/>
        <v>34</v>
      </c>
      <c r="R852" s="68"/>
      <c r="S852" s="68">
        <v>34</v>
      </c>
      <c r="T852" s="68"/>
      <c r="U852" s="129"/>
      <c r="V852" s="68">
        <f t="shared" si="301"/>
        <v>34</v>
      </c>
      <c r="W852" s="91" t="s">
        <v>3428</v>
      </c>
    </row>
    <row r="853" s="4" customFormat="1" ht="26.25" customHeight="1" spans="1:23">
      <c r="A853" s="117">
        <v>605001</v>
      </c>
      <c r="B853" s="29" t="s">
        <v>2160</v>
      </c>
      <c r="C853" s="35" t="s">
        <v>3236</v>
      </c>
      <c r="D853" s="40" t="s">
        <v>3237</v>
      </c>
      <c r="E853" s="127" t="s">
        <v>3630</v>
      </c>
      <c r="F853" s="35" t="s">
        <v>3427</v>
      </c>
      <c r="G853" s="33">
        <f t="shared" si="298"/>
        <v>0</v>
      </c>
      <c r="H853" s="33"/>
      <c r="I853" s="33"/>
      <c r="J853" s="33"/>
      <c r="K853" s="55">
        <v>15</v>
      </c>
      <c r="L853" s="33"/>
      <c r="M853" s="54">
        <f t="shared" si="299"/>
        <v>0</v>
      </c>
      <c r="N853" s="54"/>
      <c r="O853" s="54"/>
      <c r="P853" s="54"/>
      <c r="Q853" s="68">
        <f t="shared" si="300"/>
        <v>0</v>
      </c>
      <c r="R853" s="68"/>
      <c r="S853" s="68"/>
      <c r="T853" s="68"/>
      <c r="U853" s="129"/>
      <c r="V853" s="33">
        <f t="shared" si="301"/>
        <v>15</v>
      </c>
      <c r="W853" s="130" t="s">
        <v>2283</v>
      </c>
    </row>
    <row r="854" s="4" customFormat="1" ht="26.25" customHeight="1" spans="1:23">
      <c r="A854" s="117">
        <v>605001</v>
      </c>
      <c r="B854" s="29" t="s">
        <v>2160</v>
      </c>
      <c r="C854" s="35" t="s">
        <v>3429</v>
      </c>
      <c r="D854" s="76" t="s">
        <v>3430</v>
      </c>
      <c r="E854" s="127" t="s">
        <v>3630</v>
      </c>
      <c r="F854" s="35" t="s">
        <v>3427</v>
      </c>
      <c r="G854" s="33">
        <f t="shared" si="298"/>
        <v>0</v>
      </c>
      <c r="H854" s="33"/>
      <c r="I854" s="33"/>
      <c r="J854" s="33"/>
      <c r="K854" s="33"/>
      <c r="L854" s="33"/>
      <c r="M854" s="54">
        <f t="shared" si="299"/>
        <v>17</v>
      </c>
      <c r="N854" s="54"/>
      <c r="O854" s="54">
        <v>17</v>
      </c>
      <c r="P854" s="54"/>
      <c r="Q854" s="68">
        <f t="shared" si="300"/>
        <v>0</v>
      </c>
      <c r="R854" s="68"/>
      <c r="S854" s="68"/>
      <c r="T854" s="68"/>
      <c r="U854" s="129"/>
      <c r="V854" s="54">
        <f t="shared" si="301"/>
        <v>17</v>
      </c>
      <c r="W854" s="92" t="s">
        <v>526</v>
      </c>
    </row>
    <row r="855" s="4" customFormat="1" ht="26.25" customHeight="1" spans="1:23">
      <c r="A855" s="117">
        <v>605001</v>
      </c>
      <c r="B855" s="29" t="s">
        <v>2160</v>
      </c>
      <c r="C855" s="118" t="s">
        <v>2342</v>
      </c>
      <c r="D855" s="120" t="s">
        <v>2343</v>
      </c>
      <c r="E855" s="37" t="s">
        <v>3631</v>
      </c>
      <c r="F855" s="48" t="s">
        <v>3434</v>
      </c>
      <c r="G855" s="33">
        <f t="shared" si="298"/>
        <v>14.4</v>
      </c>
      <c r="H855" s="33">
        <v>14.4</v>
      </c>
      <c r="I855" s="33"/>
      <c r="J855" s="33"/>
      <c r="K855" s="33"/>
      <c r="L855" s="33"/>
      <c r="M855" s="54">
        <f t="shared" si="299"/>
        <v>0</v>
      </c>
      <c r="N855" s="54"/>
      <c r="O855" s="54"/>
      <c r="P855" s="54"/>
      <c r="Q855" s="68">
        <f t="shared" si="300"/>
        <v>0</v>
      </c>
      <c r="R855" s="68"/>
      <c r="S855" s="68"/>
      <c r="T855" s="68"/>
      <c r="U855" s="129"/>
      <c r="V855" s="70">
        <f t="shared" si="301"/>
        <v>14.4</v>
      </c>
      <c r="W855" s="130" t="s">
        <v>2283</v>
      </c>
    </row>
    <row r="856" s="4" customFormat="1" ht="26.25" customHeight="1" spans="1:23">
      <c r="A856" s="117">
        <v>605001</v>
      </c>
      <c r="B856" s="29" t="s">
        <v>2160</v>
      </c>
      <c r="C856" s="118" t="s">
        <v>2342</v>
      </c>
      <c r="D856" s="120" t="s">
        <v>2343</v>
      </c>
      <c r="E856" s="37" t="s">
        <v>3632</v>
      </c>
      <c r="F856" s="48" t="s">
        <v>3436</v>
      </c>
      <c r="G856" s="33">
        <f t="shared" si="298"/>
        <v>82.56</v>
      </c>
      <c r="H856" s="33">
        <v>82.56</v>
      </c>
      <c r="I856" s="33"/>
      <c r="J856" s="33"/>
      <c r="K856" s="33"/>
      <c r="L856" s="33"/>
      <c r="M856" s="54">
        <f t="shared" si="299"/>
        <v>0</v>
      </c>
      <c r="N856" s="54"/>
      <c r="O856" s="54"/>
      <c r="P856" s="54"/>
      <c r="Q856" s="68">
        <f t="shared" si="300"/>
        <v>0</v>
      </c>
      <c r="R856" s="68"/>
      <c r="S856" s="68"/>
      <c r="T856" s="68"/>
      <c r="U856" s="129"/>
      <c r="V856" s="70">
        <f t="shared" si="301"/>
        <v>82.56</v>
      </c>
      <c r="W856" s="130" t="s">
        <v>2283</v>
      </c>
    </row>
    <row r="857" s="4" customFormat="1" ht="26.25" customHeight="1" spans="1:23">
      <c r="A857" s="117">
        <v>605001</v>
      </c>
      <c r="B857" s="29" t="s">
        <v>2160</v>
      </c>
      <c r="C857" s="118" t="s">
        <v>2342</v>
      </c>
      <c r="D857" s="82" t="s">
        <v>2343</v>
      </c>
      <c r="E857" s="37" t="s">
        <v>3633</v>
      </c>
      <c r="F857" s="48" t="s">
        <v>3634</v>
      </c>
      <c r="G857" s="33">
        <f t="shared" si="298"/>
        <v>19.6</v>
      </c>
      <c r="H857" s="33"/>
      <c r="I857" s="33"/>
      <c r="J857" s="33">
        <v>19.6</v>
      </c>
      <c r="K857" s="33"/>
      <c r="L857" s="33"/>
      <c r="M857" s="54">
        <f t="shared" si="299"/>
        <v>-19.6</v>
      </c>
      <c r="N857" s="54">
        <v>-19.6</v>
      </c>
      <c r="O857" s="54"/>
      <c r="P857" s="54"/>
      <c r="Q857" s="68">
        <f t="shared" si="300"/>
        <v>0</v>
      </c>
      <c r="R857" s="68"/>
      <c r="S857" s="68"/>
      <c r="T857" s="68"/>
      <c r="U857" s="129"/>
      <c r="V857" s="54">
        <f t="shared" si="301"/>
        <v>0</v>
      </c>
      <c r="W857" s="92" t="s">
        <v>2283</v>
      </c>
    </row>
    <row r="858" s="4" customFormat="1" ht="26.25" customHeight="1" spans="1:23">
      <c r="A858" s="117">
        <v>605001</v>
      </c>
      <c r="B858" s="29" t="s">
        <v>2160</v>
      </c>
      <c r="C858" s="118" t="s">
        <v>2342</v>
      </c>
      <c r="D858" s="120" t="s">
        <v>2343</v>
      </c>
      <c r="E858" s="37" t="s">
        <v>3635</v>
      </c>
      <c r="F858" s="48" t="s">
        <v>3438</v>
      </c>
      <c r="G858" s="33">
        <f t="shared" si="298"/>
        <v>55.2</v>
      </c>
      <c r="H858" s="33">
        <v>55.2</v>
      </c>
      <c r="I858" s="33"/>
      <c r="J858" s="33"/>
      <c r="K858" s="33"/>
      <c r="L858" s="33"/>
      <c r="M858" s="54">
        <f t="shared" si="299"/>
        <v>0</v>
      </c>
      <c r="N858" s="54"/>
      <c r="O858" s="54"/>
      <c r="P858" s="54"/>
      <c r="Q858" s="68">
        <f t="shared" si="300"/>
        <v>0</v>
      </c>
      <c r="R858" s="68"/>
      <c r="S858" s="68"/>
      <c r="T858" s="68"/>
      <c r="U858" s="129"/>
      <c r="V858" s="70">
        <f t="shared" si="301"/>
        <v>55.2</v>
      </c>
      <c r="W858" s="130" t="s">
        <v>2283</v>
      </c>
    </row>
    <row r="859" s="4" customFormat="1" ht="26.25" customHeight="1" spans="1:23">
      <c r="A859" s="117">
        <v>605001</v>
      </c>
      <c r="B859" s="29" t="s">
        <v>2160</v>
      </c>
      <c r="C859" s="118" t="s">
        <v>3307</v>
      </c>
      <c r="D859" s="120" t="s">
        <v>3308</v>
      </c>
      <c r="E859" s="37" t="s">
        <v>3636</v>
      </c>
      <c r="F859" s="32" t="s">
        <v>3446</v>
      </c>
      <c r="G859" s="33">
        <f t="shared" si="298"/>
        <v>17.5</v>
      </c>
      <c r="H859" s="33">
        <v>17.5</v>
      </c>
      <c r="I859" s="33"/>
      <c r="J859" s="33"/>
      <c r="K859" s="33"/>
      <c r="L859" s="33"/>
      <c r="M859" s="54">
        <f t="shared" si="299"/>
        <v>0</v>
      </c>
      <c r="N859" s="54"/>
      <c r="O859" s="54"/>
      <c r="P859" s="54"/>
      <c r="Q859" s="68">
        <f t="shared" si="300"/>
        <v>0</v>
      </c>
      <c r="R859" s="68"/>
      <c r="S859" s="68"/>
      <c r="T859" s="68"/>
      <c r="U859" s="129"/>
      <c r="V859" s="70">
        <f t="shared" si="301"/>
        <v>17.5</v>
      </c>
      <c r="W859" s="130" t="s">
        <v>2283</v>
      </c>
    </row>
    <row r="860" s="4" customFormat="1" ht="26.25" customHeight="1" spans="1:23">
      <c r="A860" s="117">
        <v>605001</v>
      </c>
      <c r="B860" s="29" t="s">
        <v>2160</v>
      </c>
      <c r="C860" s="118" t="s">
        <v>2412</v>
      </c>
      <c r="D860" s="119" t="s">
        <v>2310</v>
      </c>
      <c r="E860" s="30" t="s">
        <v>3637</v>
      </c>
      <c r="F860" s="32" t="s">
        <v>3638</v>
      </c>
      <c r="G860" s="33">
        <f t="shared" si="298"/>
        <v>10</v>
      </c>
      <c r="H860" s="33">
        <v>10</v>
      </c>
      <c r="I860" s="33"/>
      <c r="J860" s="33"/>
      <c r="K860" s="33"/>
      <c r="L860" s="33"/>
      <c r="M860" s="54">
        <f t="shared" si="299"/>
        <v>0</v>
      </c>
      <c r="N860" s="54"/>
      <c r="O860" s="54"/>
      <c r="P860" s="54"/>
      <c r="Q860" s="68">
        <f t="shared" si="300"/>
        <v>0</v>
      </c>
      <c r="R860" s="68"/>
      <c r="S860" s="68"/>
      <c r="T860" s="68"/>
      <c r="U860" s="129"/>
      <c r="V860" s="33">
        <f t="shared" si="301"/>
        <v>10</v>
      </c>
      <c r="W860" s="130" t="s">
        <v>2283</v>
      </c>
    </row>
    <row r="861" s="4" customFormat="1" ht="26.25" customHeight="1" spans="1:23">
      <c r="A861" s="117">
        <v>605001</v>
      </c>
      <c r="B861" s="29" t="s">
        <v>2160</v>
      </c>
      <c r="C861" s="118" t="s">
        <v>2412</v>
      </c>
      <c r="D861" s="119" t="s">
        <v>2310</v>
      </c>
      <c r="E861" s="30" t="s">
        <v>3639</v>
      </c>
      <c r="F861" s="32" t="s">
        <v>3452</v>
      </c>
      <c r="G861" s="33">
        <f t="shared" si="298"/>
        <v>0.5</v>
      </c>
      <c r="H861" s="33">
        <v>0.5</v>
      </c>
      <c r="I861" s="33"/>
      <c r="J861" s="33"/>
      <c r="K861" s="33"/>
      <c r="L861" s="33"/>
      <c r="M861" s="54">
        <f t="shared" si="299"/>
        <v>0</v>
      </c>
      <c r="N861" s="54"/>
      <c r="O861" s="54"/>
      <c r="P861" s="54"/>
      <c r="Q861" s="68">
        <f t="shared" si="300"/>
        <v>0</v>
      </c>
      <c r="R861" s="68"/>
      <c r="S861" s="68"/>
      <c r="T861" s="68"/>
      <c r="U861" s="129"/>
      <c r="V861" s="33">
        <f t="shared" si="301"/>
        <v>0.5</v>
      </c>
      <c r="W861" s="130" t="s">
        <v>2283</v>
      </c>
    </row>
    <row r="862" s="4" customFormat="1" ht="26.25" customHeight="1" spans="1:23">
      <c r="A862" s="115">
        <v>698001</v>
      </c>
      <c r="B862" s="23" t="s">
        <v>1398</v>
      </c>
      <c r="C862" s="116"/>
      <c r="D862" s="116"/>
      <c r="E862" s="84"/>
      <c r="F862" s="26"/>
      <c r="G862" s="27">
        <f t="shared" ref="G862:V862" si="302">SUM(G863:G866)</f>
        <v>734</v>
      </c>
      <c r="H862" s="27">
        <f t="shared" si="302"/>
        <v>684</v>
      </c>
      <c r="I862" s="27">
        <f t="shared" si="302"/>
        <v>50</v>
      </c>
      <c r="J862" s="27">
        <f t="shared" si="302"/>
        <v>0</v>
      </c>
      <c r="K862" s="27">
        <f t="shared" si="302"/>
        <v>-92</v>
      </c>
      <c r="L862" s="27">
        <f t="shared" si="302"/>
        <v>170</v>
      </c>
      <c r="M862" s="27">
        <f t="shared" si="302"/>
        <v>0</v>
      </c>
      <c r="N862" s="27">
        <f t="shared" si="302"/>
        <v>0</v>
      </c>
      <c r="O862" s="27">
        <f t="shared" si="302"/>
        <v>0</v>
      </c>
      <c r="P862" s="27">
        <f t="shared" si="302"/>
        <v>0</v>
      </c>
      <c r="Q862" s="27">
        <f t="shared" si="302"/>
        <v>0</v>
      </c>
      <c r="R862" s="27">
        <f t="shared" si="302"/>
        <v>0</v>
      </c>
      <c r="S862" s="27">
        <f t="shared" si="302"/>
        <v>0</v>
      </c>
      <c r="T862" s="27">
        <f t="shared" si="302"/>
        <v>0</v>
      </c>
      <c r="U862" s="27">
        <f t="shared" si="302"/>
        <v>0</v>
      </c>
      <c r="V862" s="27">
        <f t="shared" si="302"/>
        <v>812</v>
      </c>
      <c r="W862" s="67"/>
    </row>
    <row r="863" s="4" customFormat="1" ht="26.25" customHeight="1" spans="1:23">
      <c r="A863" s="117">
        <v>698001</v>
      </c>
      <c r="B863" s="29" t="s">
        <v>3640</v>
      </c>
      <c r="C863" s="118" t="s">
        <v>3565</v>
      </c>
      <c r="D863" s="146" t="s">
        <v>3566</v>
      </c>
      <c r="E863" s="37" t="s">
        <v>3641</v>
      </c>
      <c r="F863" s="32" t="s">
        <v>1099</v>
      </c>
      <c r="G863" s="33">
        <f t="shared" ref="G863:G866" si="303">SUM(H863:J863)</f>
        <v>450</v>
      </c>
      <c r="H863" s="33">
        <v>400</v>
      </c>
      <c r="I863" s="33">
        <v>50</v>
      </c>
      <c r="J863" s="33"/>
      <c r="K863" s="33"/>
      <c r="L863" s="33">
        <v>170</v>
      </c>
      <c r="M863" s="54">
        <f t="shared" ref="M863:M866" si="304">N863+O863-P863</f>
        <v>0</v>
      </c>
      <c r="N863" s="54"/>
      <c r="O863" s="54"/>
      <c r="P863" s="54"/>
      <c r="Q863" s="68">
        <f t="shared" ref="Q863:Q866" si="305">R863+S863-T863</f>
        <v>0</v>
      </c>
      <c r="R863" s="68"/>
      <c r="S863" s="68"/>
      <c r="T863" s="68"/>
      <c r="U863" s="129"/>
      <c r="V863" s="70">
        <f>G863+K863+L863+M863+Q863-U863</f>
        <v>620</v>
      </c>
      <c r="W863" s="130" t="s">
        <v>2283</v>
      </c>
    </row>
    <row r="864" s="4" customFormat="1" ht="26.25" customHeight="1" spans="1:23">
      <c r="A864" s="117">
        <v>698001</v>
      </c>
      <c r="B864" s="29" t="s">
        <v>3640</v>
      </c>
      <c r="C864" s="118" t="s">
        <v>3565</v>
      </c>
      <c r="D864" s="146" t="s">
        <v>3566</v>
      </c>
      <c r="E864" s="37" t="s">
        <v>3642</v>
      </c>
      <c r="F864" s="32" t="s">
        <v>3643</v>
      </c>
      <c r="G864" s="33">
        <f t="shared" si="303"/>
        <v>192</v>
      </c>
      <c r="H864" s="33">
        <v>192</v>
      </c>
      <c r="I864" s="33"/>
      <c r="J864" s="33"/>
      <c r="K864" s="33"/>
      <c r="L864" s="33"/>
      <c r="M864" s="54">
        <f t="shared" si="304"/>
        <v>0</v>
      </c>
      <c r="N864" s="54"/>
      <c r="O864" s="54"/>
      <c r="P864" s="54"/>
      <c r="Q864" s="68">
        <f t="shared" si="305"/>
        <v>0</v>
      </c>
      <c r="R864" s="68"/>
      <c r="S864" s="68"/>
      <c r="T864" s="68"/>
      <c r="U864" s="129"/>
      <c r="V864" s="70">
        <f t="shared" ref="V863:V866" si="306">G864+K864+L864+M864+Q864-U864</f>
        <v>192</v>
      </c>
      <c r="W864" s="130" t="s">
        <v>2283</v>
      </c>
    </row>
    <row r="865" s="4" customFormat="1" ht="26.25" customHeight="1" spans="1:23">
      <c r="A865" s="117">
        <v>698001</v>
      </c>
      <c r="B865" s="29" t="s">
        <v>3640</v>
      </c>
      <c r="C865" s="118" t="s">
        <v>3565</v>
      </c>
      <c r="D865" s="146" t="s">
        <v>3566</v>
      </c>
      <c r="E865" s="37" t="s">
        <v>3644</v>
      </c>
      <c r="F865" s="32" t="s">
        <v>3570</v>
      </c>
      <c r="G865" s="33">
        <f t="shared" si="303"/>
        <v>72</v>
      </c>
      <c r="H865" s="33">
        <v>72</v>
      </c>
      <c r="I865" s="33"/>
      <c r="J865" s="33"/>
      <c r="K865" s="55">
        <v>-72</v>
      </c>
      <c r="L865" s="33"/>
      <c r="M865" s="54">
        <f t="shared" si="304"/>
        <v>0</v>
      </c>
      <c r="N865" s="54"/>
      <c r="O865" s="54"/>
      <c r="P865" s="54"/>
      <c r="Q865" s="68">
        <f t="shared" si="305"/>
        <v>0</v>
      </c>
      <c r="R865" s="68"/>
      <c r="S865" s="68"/>
      <c r="T865" s="68"/>
      <c r="U865" s="129"/>
      <c r="V865" s="70">
        <f t="shared" si="306"/>
        <v>0</v>
      </c>
      <c r="W865" s="130" t="s">
        <v>2283</v>
      </c>
    </row>
    <row r="866" s="4" customFormat="1" ht="26.25" customHeight="1" spans="1:23">
      <c r="A866" s="117">
        <v>698001</v>
      </c>
      <c r="B866" s="29" t="s">
        <v>3640</v>
      </c>
      <c r="C866" s="118" t="s">
        <v>3565</v>
      </c>
      <c r="D866" s="146" t="s">
        <v>3566</v>
      </c>
      <c r="E866" s="37" t="s">
        <v>3645</v>
      </c>
      <c r="F866" s="32" t="s">
        <v>3568</v>
      </c>
      <c r="G866" s="33">
        <f t="shared" si="303"/>
        <v>20</v>
      </c>
      <c r="H866" s="33">
        <v>20</v>
      </c>
      <c r="I866" s="33"/>
      <c r="J866" s="33"/>
      <c r="K866" s="55">
        <v>-20</v>
      </c>
      <c r="L866" s="33"/>
      <c r="M866" s="54">
        <f t="shared" si="304"/>
        <v>0</v>
      </c>
      <c r="N866" s="54"/>
      <c r="O866" s="54"/>
      <c r="P866" s="54"/>
      <c r="Q866" s="68">
        <f t="shared" si="305"/>
        <v>0</v>
      </c>
      <c r="R866" s="68"/>
      <c r="S866" s="68"/>
      <c r="T866" s="68"/>
      <c r="U866" s="129"/>
      <c r="V866" s="33">
        <f t="shared" si="306"/>
        <v>0</v>
      </c>
      <c r="W866" s="130" t="s">
        <v>2283</v>
      </c>
    </row>
    <row r="867" s="4" customFormat="1" ht="26.25" customHeight="1" spans="1:23">
      <c r="A867" s="115">
        <v>698002</v>
      </c>
      <c r="B867" s="23" t="s">
        <v>1400</v>
      </c>
      <c r="C867" s="116"/>
      <c r="D867" s="116"/>
      <c r="E867" s="84"/>
      <c r="F867" s="26"/>
      <c r="G867" s="27">
        <f t="shared" ref="G867:V867" si="307">SUM(G868:G869)</f>
        <v>100</v>
      </c>
      <c r="H867" s="27">
        <f t="shared" si="307"/>
        <v>100</v>
      </c>
      <c r="I867" s="27">
        <f t="shared" si="307"/>
        <v>0</v>
      </c>
      <c r="J867" s="27">
        <f t="shared" si="307"/>
        <v>0</v>
      </c>
      <c r="K867" s="27">
        <f t="shared" si="307"/>
        <v>0</v>
      </c>
      <c r="L867" s="27">
        <f t="shared" si="307"/>
        <v>0</v>
      </c>
      <c r="M867" s="27">
        <f t="shared" si="307"/>
        <v>0</v>
      </c>
      <c r="N867" s="27">
        <f t="shared" si="307"/>
        <v>0</v>
      </c>
      <c r="O867" s="27">
        <f t="shared" si="307"/>
        <v>0</v>
      </c>
      <c r="P867" s="27">
        <f t="shared" si="307"/>
        <v>0</v>
      </c>
      <c r="Q867" s="27">
        <f t="shared" si="307"/>
        <v>0</v>
      </c>
      <c r="R867" s="27">
        <f t="shared" si="307"/>
        <v>0</v>
      </c>
      <c r="S867" s="27">
        <f t="shared" si="307"/>
        <v>0</v>
      </c>
      <c r="T867" s="27">
        <f t="shared" si="307"/>
        <v>0</v>
      </c>
      <c r="U867" s="27">
        <f t="shared" si="307"/>
        <v>0</v>
      </c>
      <c r="V867" s="27">
        <f t="shared" si="307"/>
        <v>100</v>
      </c>
      <c r="W867" s="67"/>
    </row>
    <row r="868" s="4" customFormat="1" ht="26.25" customHeight="1" spans="1:23">
      <c r="A868" s="117">
        <v>698002</v>
      </c>
      <c r="B868" s="29" t="s">
        <v>3646</v>
      </c>
      <c r="C868" s="118" t="s">
        <v>3276</v>
      </c>
      <c r="D868" s="146" t="s">
        <v>3277</v>
      </c>
      <c r="E868" s="30" t="s">
        <v>3647</v>
      </c>
      <c r="F868" s="32" t="s">
        <v>3648</v>
      </c>
      <c r="G868" s="33">
        <f t="shared" ref="G868:G871" si="308">SUM(H868:J868)</f>
        <v>50</v>
      </c>
      <c r="H868" s="33">
        <v>50</v>
      </c>
      <c r="I868" s="33"/>
      <c r="J868" s="33"/>
      <c r="K868" s="33"/>
      <c r="L868" s="33"/>
      <c r="M868" s="54">
        <f t="shared" ref="M868:M871" si="309">N868+O868-P868</f>
        <v>0</v>
      </c>
      <c r="N868" s="54"/>
      <c r="O868" s="54"/>
      <c r="P868" s="54"/>
      <c r="Q868" s="68">
        <f t="shared" ref="Q868:Q871" si="310">R868+S868-T868</f>
        <v>0</v>
      </c>
      <c r="R868" s="68"/>
      <c r="S868" s="68"/>
      <c r="T868" s="68"/>
      <c r="U868" s="129"/>
      <c r="V868" s="33">
        <f t="shared" ref="V868:V871" si="311">G868+K868+L868+M868+Q868-U868</f>
        <v>50</v>
      </c>
      <c r="W868" s="130" t="s">
        <v>2283</v>
      </c>
    </row>
    <row r="869" s="4" customFormat="1" ht="26.25" customHeight="1" spans="1:23">
      <c r="A869" s="117">
        <v>698002</v>
      </c>
      <c r="B869" s="29" t="s">
        <v>3646</v>
      </c>
      <c r="C869" s="118" t="s">
        <v>3225</v>
      </c>
      <c r="D869" s="146" t="s">
        <v>3224</v>
      </c>
      <c r="E869" s="30" t="s">
        <v>3649</v>
      </c>
      <c r="F869" s="32" t="s">
        <v>3650</v>
      </c>
      <c r="G869" s="33">
        <f t="shared" si="308"/>
        <v>50</v>
      </c>
      <c r="H869" s="33">
        <v>50</v>
      </c>
      <c r="I869" s="33"/>
      <c r="J869" s="33"/>
      <c r="K869" s="33"/>
      <c r="L869" s="33"/>
      <c r="M869" s="54">
        <f t="shared" si="309"/>
        <v>0</v>
      </c>
      <c r="N869" s="54"/>
      <c r="O869" s="54"/>
      <c r="P869" s="54"/>
      <c r="Q869" s="68">
        <f t="shared" si="310"/>
        <v>0</v>
      </c>
      <c r="R869" s="68"/>
      <c r="S869" s="68"/>
      <c r="T869" s="68"/>
      <c r="U869" s="129"/>
      <c r="V869" s="33">
        <f t="shared" si="311"/>
        <v>50</v>
      </c>
      <c r="W869" s="130" t="s">
        <v>2283</v>
      </c>
    </row>
    <row r="870" s="4" customFormat="1" ht="26.25" customHeight="1" spans="1:23">
      <c r="A870" s="115">
        <v>698003</v>
      </c>
      <c r="B870" s="23" t="s">
        <v>1402</v>
      </c>
      <c r="C870" s="116"/>
      <c r="D870" s="116"/>
      <c r="E870" s="84"/>
      <c r="F870" s="26"/>
      <c r="G870" s="27">
        <f t="shared" ref="G870:V870" si="312">SUM(G871:G871)</f>
        <v>1500</v>
      </c>
      <c r="H870" s="27">
        <f t="shared" si="312"/>
        <v>1500</v>
      </c>
      <c r="I870" s="27">
        <f t="shared" si="312"/>
        <v>0</v>
      </c>
      <c r="J870" s="27">
        <f t="shared" si="312"/>
        <v>0</v>
      </c>
      <c r="K870" s="27">
        <f t="shared" si="312"/>
        <v>0</v>
      </c>
      <c r="L870" s="27">
        <f t="shared" si="312"/>
        <v>0</v>
      </c>
      <c r="M870" s="27">
        <f t="shared" si="312"/>
        <v>0</v>
      </c>
      <c r="N870" s="27">
        <f t="shared" si="312"/>
        <v>0</v>
      </c>
      <c r="O870" s="27">
        <f t="shared" si="312"/>
        <v>0</v>
      </c>
      <c r="P870" s="27">
        <f t="shared" si="312"/>
        <v>0</v>
      </c>
      <c r="Q870" s="27">
        <f t="shared" si="312"/>
        <v>0</v>
      </c>
      <c r="R870" s="27">
        <f t="shared" si="312"/>
        <v>0</v>
      </c>
      <c r="S870" s="27">
        <f t="shared" si="312"/>
        <v>0</v>
      </c>
      <c r="T870" s="27">
        <f t="shared" si="312"/>
        <v>0</v>
      </c>
      <c r="U870" s="27">
        <f t="shared" si="312"/>
        <v>300</v>
      </c>
      <c r="V870" s="27">
        <f t="shared" si="312"/>
        <v>1200</v>
      </c>
      <c r="W870" s="67"/>
    </row>
    <row r="871" s="4" customFormat="1" ht="26.25" customHeight="1" spans="1:23">
      <c r="A871" s="117">
        <v>698003</v>
      </c>
      <c r="B871" s="29" t="s">
        <v>3651</v>
      </c>
      <c r="C871" s="118" t="s">
        <v>3276</v>
      </c>
      <c r="D871" s="146" t="s">
        <v>3277</v>
      </c>
      <c r="E871" s="30" t="s">
        <v>3652</v>
      </c>
      <c r="F871" s="32" t="s">
        <v>1102</v>
      </c>
      <c r="G871" s="33">
        <f t="shared" si="308"/>
        <v>1500</v>
      </c>
      <c r="H871" s="33">
        <v>1500</v>
      </c>
      <c r="I871" s="33"/>
      <c r="J871" s="33"/>
      <c r="K871" s="33"/>
      <c r="L871" s="33"/>
      <c r="M871" s="54">
        <f t="shared" si="309"/>
        <v>0</v>
      </c>
      <c r="N871" s="54"/>
      <c r="O871" s="54"/>
      <c r="P871" s="54"/>
      <c r="Q871" s="68">
        <f t="shared" si="310"/>
        <v>0</v>
      </c>
      <c r="R871" s="68"/>
      <c r="S871" s="68"/>
      <c r="T871" s="68"/>
      <c r="U871" s="141">
        <v>300</v>
      </c>
      <c r="V871" s="33">
        <f t="shared" si="311"/>
        <v>1200</v>
      </c>
      <c r="W871" s="130" t="s">
        <v>2283</v>
      </c>
    </row>
    <row r="872" s="4" customFormat="1" ht="26.25" customHeight="1" spans="1:23">
      <c r="A872" s="147">
        <v>699002</v>
      </c>
      <c r="B872" s="23" t="s">
        <v>1403</v>
      </c>
      <c r="C872" s="116"/>
      <c r="D872" s="116"/>
      <c r="E872" s="84"/>
      <c r="F872" s="26"/>
      <c r="G872" s="27">
        <f t="shared" ref="G872:V872" si="313">SUM(G873:G876)</f>
        <v>470</v>
      </c>
      <c r="H872" s="27">
        <f t="shared" si="313"/>
        <v>300</v>
      </c>
      <c r="I872" s="27">
        <f t="shared" si="313"/>
        <v>0</v>
      </c>
      <c r="J872" s="27">
        <f t="shared" si="313"/>
        <v>170</v>
      </c>
      <c r="K872" s="27">
        <f t="shared" si="313"/>
        <v>-70</v>
      </c>
      <c r="L872" s="27">
        <f t="shared" si="313"/>
        <v>0</v>
      </c>
      <c r="M872" s="27">
        <f t="shared" si="313"/>
        <v>-110.057</v>
      </c>
      <c r="N872" s="27">
        <f t="shared" si="313"/>
        <v>-170</v>
      </c>
      <c r="O872" s="27">
        <f t="shared" si="313"/>
        <v>59.943</v>
      </c>
      <c r="P872" s="27">
        <f t="shared" si="313"/>
        <v>0</v>
      </c>
      <c r="Q872" s="27">
        <f t="shared" si="313"/>
        <v>100</v>
      </c>
      <c r="R872" s="27">
        <f t="shared" si="313"/>
        <v>0</v>
      </c>
      <c r="S872" s="27">
        <f t="shared" si="313"/>
        <v>100</v>
      </c>
      <c r="T872" s="27">
        <f t="shared" si="313"/>
        <v>0</v>
      </c>
      <c r="U872" s="27">
        <f t="shared" si="313"/>
        <v>100</v>
      </c>
      <c r="V872" s="27">
        <f t="shared" si="313"/>
        <v>289.943</v>
      </c>
      <c r="W872" s="67"/>
    </row>
    <row r="873" s="4" customFormat="1" ht="26.25" customHeight="1" spans="1:23">
      <c r="A873" s="117">
        <v>699002</v>
      </c>
      <c r="B873" s="29" t="s">
        <v>3653</v>
      </c>
      <c r="C873" s="35" t="s">
        <v>3654</v>
      </c>
      <c r="D873" s="76" t="s">
        <v>3655</v>
      </c>
      <c r="E873" s="121" t="s">
        <v>3656</v>
      </c>
      <c r="F873" s="35" t="s">
        <v>3657</v>
      </c>
      <c r="G873" s="33">
        <f t="shared" ref="G873:G876" si="314">SUM(H873:J873)</f>
        <v>0</v>
      </c>
      <c r="H873" s="33"/>
      <c r="I873" s="33"/>
      <c r="J873" s="33"/>
      <c r="K873" s="33"/>
      <c r="L873" s="33"/>
      <c r="M873" s="54">
        <f t="shared" ref="M873:M876" si="315">N873+O873-P873</f>
        <v>59.943</v>
      </c>
      <c r="N873" s="54"/>
      <c r="O873" s="54">
        <v>59.943</v>
      </c>
      <c r="P873" s="54"/>
      <c r="Q873" s="68">
        <f t="shared" ref="Q873:Q876" si="316">R873+S873-T873</f>
        <v>0</v>
      </c>
      <c r="R873" s="68"/>
      <c r="S873" s="68"/>
      <c r="T873" s="68"/>
      <c r="U873" s="129"/>
      <c r="V873" s="54">
        <f t="shared" ref="V873:V876" si="317">G873+K873+L873+M873+Q873-U873</f>
        <v>59.943</v>
      </c>
      <c r="W873" s="92" t="s">
        <v>608</v>
      </c>
    </row>
    <row r="874" s="4" customFormat="1" ht="26.25" customHeight="1" spans="1:23">
      <c r="A874" s="117">
        <v>699002</v>
      </c>
      <c r="B874" s="29" t="s">
        <v>3653</v>
      </c>
      <c r="C874" s="35" t="s">
        <v>3654</v>
      </c>
      <c r="D874" s="38" t="s">
        <v>3655</v>
      </c>
      <c r="E874" s="121" t="s">
        <v>3656</v>
      </c>
      <c r="F874" s="38" t="s">
        <v>3657</v>
      </c>
      <c r="G874" s="33">
        <f t="shared" si="314"/>
        <v>0</v>
      </c>
      <c r="H874" s="33"/>
      <c r="I874" s="33"/>
      <c r="J874" s="33"/>
      <c r="K874" s="33"/>
      <c r="L874" s="33"/>
      <c r="M874" s="54">
        <f t="shared" si="315"/>
        <v>0</v>
      </c>
      <c r="N874" s="54"/>
      <c r="O874" s="54"/>
      <c r="P874" s="54"/>
      <c r="Q874" s="68">
        <f t="shared" si="316"/>
        <v>100</v>
      </c>
      <c r="R874" s="68"/>
      <c r="S874" s="68">
        <v>100</v>
      </c>
      <c r="T874" s="68"/>
      <c r="U874" s="129"/>
      <c r="V874" s="68">
        <f t="shared" si="317"/>
        <v>100</v>
      </c>
      <c r="W874" s="91" t="s">
        <v>3658</v>
      </c>
    </row>
    <row r="875" s="4" customFormat="1" ht="26.25" customHeight="1" spans="1:23">
      <c r="A875" s="117">
        <v>699002</v>
      </c>
      <c r="B875" s="29" t="s">
        <v>3653</v>
      </c>
      <c r="C875" s="118" t="s">
        <v>3236</v>
      </c>
      <c r="D875" s="135" t="s">
        <v>3237</v>
      </c>
      <c r="E875" s="37" t="s">
        <v>3659</v>
      </c>
      <c r="F875" s="32" t="s">
        <v>1103</v>
      </c>
      <c r="G875" s="33">
        <f t="shared" si="314"/>
        <v>300</v>
      </c>
      <c r="H875" s="33">
        <v>300</v>
      </c>
      <c r="I875" s="33"/>
      <c r="J875" s="33"/>
      <c r="K875" s="55">
        <v>-70</v>
      </c>
      <c r="L875" s="33"/>
      <c r="M875" s="54">
        <f t="shared" si="315"/>
        <v>0</v>
      </c>
      <c r="N875" s="54"/>
      <c r="O875" s="54"/>
      <c r="P875" s="54"/>
      <c r="Q875" s="68">
        <f t="shared" si="316"/>
        <v>0</v>
      </c>
      <c r="R875" s="68"/>
      <c r="S875" s="68"/>
      <c r="T875" s="68"/>
      <c r="U875" s="129">
        <v>100</v>
      </c>
      <c r="V875" s="33">
        <f t="shared" si="317"/>
        <v>130</v>
      </c>
      <c r="W875" s="130" t="s">
        <v>2283</v>
      </c>
    </row>
    <row r="876" s="4" customFormat="1" ht="26.25" customHeight="1" spans="1:23">
      <c r="A876" s="117">
        <v>699002</v>
      </c>
      <c r="B876" s="29" t="s">
        <v>3653</v>
      </c>
      <c r="C876" s="118" t="s">
        <v>3236</v>
      </c>
      <c r="D876" s="82" t="s">
        <v>3237</v>
      </c>
      <c r="E876" s="37" t="s">
        <v>3660</v>
      </c>
      <c r="F876" s="32" t="s">
        <v>3661</v>
      </c>
      <c r="G876" s="33">
        <f t="shared" si="314"/>
        <v>170</v>
      </c>
      <c r="H876" s="33"/>
      <c r="I876" s="33"/>
      <c r="J876" s="33">
        <v>170</v>
      </c>
      <c r="K876" s="33"/>
      <c r="L876" s="33"/>
      <c r="M876" s="54">
        <f t="shared" si="315"/>
        <v>-170</v>
      </c>
      <c r="N876" s="54">
        <v>-170</v>
      </c>
      <c r="O876" s="54"/>
      <c r="P876" s="54"/>
      <c r="Q876" s="68">
        <f t="shared" si="316"/>
        <v>0</v>
      </c>
      <c r="R876" s="68"/>
      <c r="S876" s="68"/>
      <c r="T876" s="68"/>
      <c r="U876" s="129"/>
      <c r="V876" s="54">
        <f t="shared" si="317"/>
        <v>0</v>
      </c>
      <c r="W876" s="92" t="s">
        <v>2283</v>
      </c>
    </row>
    <row r="877" s="4" customFormat="1" ht="26.25" customHeight="1" spans="1:23">
      <c r="A877" s="147">
        <v>699003</v>
      </c>
      <c r="B877" s="23" t="s">
        <v>1404</v>
      </c>
      <c r="C877" s="116"/>
      <c r="D877" s="116"/>
      <c r="E877" s="84"/>
      <c r="F877" s="26"/>
      <c r="G877" s="27">
        <f t="shared" ref="G877:V877" si="318">SUM(G878:G884)</f>
        <v>0</v>
      </c>
      <c r="H877" s="27">
        <f t="shared" si="318"/>
        <v>0</v>
      </c>
      <c r="I877" s="27">
        <f t="shared" si="318"/>
        <v>0</v>
      </c>
      <c r="J877" s="27">
        <f t="shared" si="318"/>
        <v>0</v>
      </c>
      <c r="K877" s="27">
        <f t="shared" si="318"/>
        <v>405</v>
      </c>
      <c r="L877" s="27">
        <f t="shared" si="318"/>
        <v>0</v>
      </c>
      <c r="M877" s="27">
        <f t="shared" si="318"/>
        <v>852</v>
      </c>
      <c r="N877" s="27">
        <f t="shared" si="318"/>
        <v>0</v>
      </c>
      <c r="O877" s="27">
        <f t="shared" si="318"/>
        <v>1032</v>
      </c>
      <c r="P877" s="27">
        <f t="shared" si="318"/>
        <v>180</v>
      </c>
      <c r="Q877" s="27">
        <f t="shared" si="318"/>
        <v>0</v>
      </c>
      <c r="R877" s="27">
        <f t="shared" si="318"/>
        <v>0</v>
      </c>
      <c r="S877" s="27">
        <f t="shared" si="318"/>
        <v>0</v>
      </c>
      <c r="T877" s="27">
        <f t="shared" si="318"/>
        <v>0</v>
      </c>
      <c r="U877" s="27">
        <f t="shared" si="318"/>
        <v>0</v>
      </c>
      <c r="V877" s="27">
        <f t="shared" si="318"/>
        <v>1257</v>
      </c>
      <c r="W877" s="67"/>
    </row>
    <row r="878" s="4" customFormat="1" ht="26.25" customHeight="1" spans="1:23">
      <c r="A878" s="117">
        <v>699003</v>
      </c>
      <c r="B878" s="29" t="s">
        <v>3662</v>
      </c>
      <c r="C878" s="35" t="s">
        <v>2711</v>
      </c>
      <c r="D878" s="76" t="s">
        <v>2712</v>
      </c>
      <c r="E878" s="127" t="s">
        <v>3663</v>
      </c>
      <c r="F878" s="35" t="s">
        <v>3664</v>
      </c>
      <c r="G878" s="33">
        <f>SUM(H878:J878)</f>
        <v>0</v>
      </c>
      <c r="H878" s="33"/>
      <c r="I878" s="33"/>
      <c r="J878" s="33"/>
      <c r="K878" s="33"/>
      <c r="L878" s="33"/>
      <c r="M878" s="54">
        <f>N878+O878-P878</f>
        <v>427</v>
      </c>
      <c r="N878" s="54"/>
      <c r="O878" s="54">
        <v>427</v>
      </c>
      <c r="P878" s="54"/>
      <c r="Q878" s="68">
        <f>R878+S878-T878</f>
        <v>0</v>
      </c>
      <c r="R878" s="68"/>
      <c r="S878" s="68"/>
      <c r="T878" s="68"/>
      <c r="U878" s="129"/>
      <c r="V878" s="54">
        <f>G878+K878+L878+M878+Q878-U878</f>
        <v>427</v>
      </c>
      <c r="W878" s="92" t="s">
        <v>517</v>
      </c>
    </row>
    <row r="879" s="4" customFormat="1" ht="26.25" customHeight="1" spans="1:23">
      <c r="A879" s="117">
        <v>699003</v>
      </c>
      <c r="B879" s="29" t="s">
        <v>3662</v>
      </c>
      <c r="C879" s="35" t="s">
        <v>3665</v>
      </c>
      <c r="D879" s="148" t="s">
        <v>3666</v>
      </c>
      <c r="E879" s="149" t="s">
        <v>3663</v>
      </c>
      <c r="F879" s="150" t="s">
        <v>3664</v>
      </c>
      <c r="G879" s="33">
        <f>SUM(H879:J879)</f>
        <v>0</v>
      </c>
      <c r="H879" s="33"/>
      <c r="I879" s="33"/>
      <c r="J879" s="33"/>
      <c r="K879" s="33">
        <v>405</v>
      </c>
      <c r="L879" s="33"/>
      <c r="M879" s="54">
        <f>N879+O879-P879</f>
        <v>0</v>
      </c>
      <c r="N879" s="54"/>
      <c r="O879" s="54">
        <v>0</v>
      </c>
      <c r="P879" s="54"/>
      <c r="Q879" s="68">
        <f>R879+S879-T879</f>
        <v>0</v>
      </c>
      <c r="R879" s="68"/>
      <c r="S879" s="68"/>
      <c r="T879" s="68"/>
      <c r="U879" s="129"/>
      <c r="V879" s="33">
        <f>G879+K879+L879+M879+Q879-U879</f>
        <v>405</v>
      </c>
      <c r="W879" s="130" t="s">
        <v>2283</v>
      </c>
    </row>
    <row r="880" s="4" customFormat="1" ht="26.25" customHeight="1" spans="1:23">
      <c r="A880" s="117">
        <v>699003</v>
      </c>
      <c r="B880" s="29" t="s">
        <v>3662</v>
      </c>
      <c r="C880" s="35">
        <v>2089999</v>
      </c>
      <c r="D880" s="76"/>
      <c r="E880" s="127"/>
      <c r="F880" s="35" t="s">
        <v>3667</v>
      </c>
      <c r="G880" s="33">
        <f t="shared" ref="G880:G885" si="319">SUM(H880:J880)</f>
        <v>0</v>
      </c>
      <c r="H880" s="33"/>
      <c r="I880" s="33"/>
      <c r="J880" s="33"/>
      <c r="K880" s="33"/>
      <c r="L880" s="33"/>
      <c r="M880" s="54">
        <f t="shared" ref="M880:M885" si="320">N880+O880-P880</f>
        <v>0</v>
      </c>
      <c r="N880" s="54"/>
      <c r="O880" s="54">
        <v>180</v>
      </c>
      <c r="P880" s="73">
        <v>180</v>
      </c>
      <c r="Q880" s="68">
        <f t="shared" ref="Q880:Q885" si="321">R880+S880-T880</f>
        <v>0</v>
      </c>
      <c r="R880" s="68"/>
      <c r="S880" s="68"/>
      <c r="T880" s="68"/>
      <c r="U880" s="129"/>
      <c r="V880" s="54">
        <f t="shared" ref="V880:V885" si="322">G880+K880+L880+M880+Q880-U880</f>
        <v>0</v>
      </c>
      <c r="W880" s="92" t="s">
        <v>660</v>
      </c>
    </row>
    <row r="881" s="4" customFormat="1" ht="26.25" customHeight="1" spans="1:23">
      <c r="A881" s="117">
        <v>699003</v>
      </c>
      <c r="B881" s="29" t="s">
        <v>3662</v>
      </c>
      <c r="C881" s="35">
        <v>2100399</v>
      </c>
      <c r="D881" s="76"/>
      <c r="E881" s="127"/>
      <c r="F881" s="35" t="s">
        <v>3668</v>
      </c>
      <c r="G881" s="33">
        <f t="shared" si="319"/>
        <v>0</v>
      </c>
      <c r="H881" s="33"/>
      <c r="I881" s="33"/>
      <c r="J881" s="33"/>
      <c r="K881" s="33"/>
      <c r="L881" s="33"/>
      <c r="M881" s="54">
        <f t="shared" si="320"/>
        <v>68</v>
      </c>
      <c r="N881" s="54"/>
      <c r="O881" s="54">
        <v>68</v>
      </c>
      <c r="P881" s="54"/>
      <c r="Q881" s="68">
        <f t="shared" si="321"/>
        <v>0</v>
      </c>
      <c r="R881" s="68"/>
      <c r="S881" s="68"/>
      <c r="T881" s="68"/>
      <c r="U881" s="129"/>
      <c r="V881" s="54">
        <f t="shared" si="322"/>
        <v>68</v>
      </c>
      <c r="W881" s="92" t="s">
        <v>713</v>
      </c>
    </row>
    <row r="882" s="4" customFormat="1" ht="26.25" customHeight="1" spans="1:23">
      <c r="A882" s="117">
        <v>699003</v>
      </c>
      <c r="B882" s="29" t="s">
        <v>3662</v>
      </c>
      <c r="C882" s="35">
        <v>2100408</v>
      </c>
      <c r="D882" s="76"/>
      <c r="E882" s="127"/>
      <c r="F882" s="35" t="s">
        <v>2909</v>
      </c>
      <c r="G882" s="33">
        <f t="shared" si="319"/>
        <v>0</v>
      </c>
      <c r="H882" s="33"/>
      <c r="I882" s="33"/>
      <c r="J882" s="33"/>
      <c r="K882" s="33"/>
      <c r="L882" s="33"/>
      <c r="M882" s="54">
        <f t="shared" si="320"/>
        <v>10</v>
      </c>
      <c r="N882" s="54"/>
      <c r="O882" s="54">
        <v>10</v>
      </c>
      <c r="P882" s="54"/>
      <c r="Q882" s="68">
        <f t="shared" si="321"/>
        <v>0</v>
      </c>
      <c r="R882" s="68"/>
      <c r="S882" s="68"/>
      <c r="T882" s="68"/>
      <c r="U882" s="129"/>
      <c r="V882" s="54">
        <f t="shared" si="322"/>
        <v>10</v>
      </c>
      <c r="W882" s="92" t="s">
        <v>685</v>
      </c>
    </row>
    <row r="883" s="4" customFormat="1" ht="26.25" customHeight="1" spans="1:23">
      <c r="A883" s="117">
        <v>699003</v>
      </c>
      <c r="B883" s="29" t="s">
        <v>3662</v>
      </c>
      <c r="C883" s="35">
        <v>2100717</v>
      </c>
      <c r="D883" s="76"/>
      <c r="E883" s="127"/>
      <c r="F883" s="35" t="s">
        <v>2930</v>
      </c>
      <c r="G883" s="33">
        <f t="shared" si="319"/>
        <v>0</v>
      </c>
      <c r="H883" s="33"/>
      <c r="I883" s="33"/>
      <c r="J883" s="33"/>
      <c r="K883" s="33"/>
      <c r="L883" s="33"/>
      <c r="M883" s="54">
        <f t="shared" si="320"/>
        <v>73</v>
      </c>
      <c r="N883" s="54"/>
      <c r="O883" s="54">
        <v>73</v>
      </c>
      <c r="P883" s="54"/>
      <c r="Q883" s="68">
        <f t="shared" si="321"/>
        <v>0</v>
      </c>
      <c r="R883" s="68"/>
      <c r="S883" s="68"/>
      <c r="T883" s="68"/>
      <c r="U883" s="129"/>
      <c r="V883" s="54">
        <f t="shared" si="322"/>
        <v>73</v>
      </c>
      <c r="W883" s="92" t="s">
        <v>711</v>
      </c>
    </row>
    <row r="884" s="4" customFormat="1" ht="26.25" customHeight="1" spans="1:23">
      <c r="A884" s="117">
        <v>699003</v>
      </c>
      <c r="B884" s="29" t="s">
        <v>3662</v>
      </c>
      <c r="C884" s="35" t="s">
        <v>2791</v>
      </c>
      <c r="D884" s="76" t="s">
        <v>2792</v>
      </c>
      <c r="E884" s="127" t="s">
        <v>3669</v>
      </c>
      <c r="F884" s="35" t="s">
        <v>2964</v>
      </c>
      <c r="G884" s="33">
        <f t="shared" si="319"/>
        <v>0</v>
      </c>
      <c r="H884" s="33"/>
      <c r="I884" s="33"/>
      <c r="J884" s="33"/>
      <c r="K884" s="33"/>
      <c r="L884" s="33"/>
      <c r="M884" s="54">
        <f t="shared" si="320"/>
        <v>274</v>
      </c>
      <c r="N884" s="54"/>
      <c r="O884" s="54">
        <v>274</v>
      </c>
      <c r="P884" s="54"/>
      <c r="Q884" s="68">
        <f t="shared" si="321"/>
        <v>0</v>
      </c>
      <c r="R884" s="68"/>
      <c r="S884" s="68"/>
      <c r="T884" s="68"/>
      <c r="U884" s="129"/>
      <c r="V884" s="54">
        <f t="shared" si="322"/>
        <v>274</v>
      </c>
      <c r="W884" s="92" t="s">
        <v>650</v>
      </c>
    </row>
    <row r="885" s="4" customFormat="1" ht="26.25" customHeight="1" spans="1:23">
      <c r="A885" s="115">
        <v>699005</v>
      </c>
      <c r="B885" s="23" t="s">
        <v>1405</v>
      </c>
      <c r="C885" s="116"/>
      <c r="D885" s="116"/>
      <c r="E885" s="84"/>
      <c r="F885" s="26"/>
      <c r="G885" s="27">
        <f t="shared" ref="G885:V885" si="323">SUM(G886:G902)</f>
        <v>0</v>
      </c>
      <c r="H885" s="27">
        <f t="shared" si="323"/>
        <v>0</v>
      </c>
      <c r="I885" s="27">
        <f t="shared" si="323"/>
        <v>0</v>
      </c>
      <c r="J885" s="27">
        <f t="shared" si="323"/>
        <v>0</v>
      </c>
      <c r="K885" s="27">
        <f t="shared" si="323"/>
        <v>0</v>
      </c>
      <c r="L885" s="27">
        <f t="shared" si="323"/>
        <v>0</v>
      </c>
      <c r="M885" s="27">
        <f t="shared" si="323"/>
        <v>2503.6</v>
      </c>
      <c r="N885" s="27">
        <f t="shared" si="323"/>
        <v>0</v>
      </c>
      <c r="O885" s="27">
        <f t="shared" si="323"/>
        <v>2588.6</v>
      </c>
      <c r="P885" s="27">
        <f t="shared" si="323"/>
        <v>85</v>
      </c>
      <c r="Q885" s="27">
        <f t="shared" si="323"/>
        <v>4200</v>
      </c>
      <c r="R885" s="27">
        <f t="shared" si="323"/>
        <v>0</v>
      </c>
      <c r="S885" s="27">
        <f t="shared" si="323"/>
        <v>4581.3</v>
      </c>
      <c r="T885" s="27">
        <f t="shared" si="323"/>
        <v>381.3</v>
      </c>
      <c r="U885" s="27">
        <f t="shared" si="323"/>
        <v>0</v>
      </c>
      <c r="V885" s="27">
        <f t="shared" si="323"/>
        <v>6703.6</v>
      </c>
      <c r="W885" s="67"/>
    </row>
    <row r="886" s="4" customFormat="1" ht="26.25" customHeight="1" spans="1:23">
      <c r="A886" s="117">
        <v>699005</v>
      </c>
      <c r="B886" s="29" t="s">
        <v>3670</v>
      </c>
      <c r="C886" s="35" t="s">
        <v>3594</v>
      </c>
      <c r="D886" s="38" t="s">
        <v>3595</v>
      </c>
      <c r="E886" s="121" t="s">
        <v>3671</v>
      </c>
      <c r="F886" s="38" t="s">
        <v>3672</v>
      </c>
      <c r="G886" s="33">
        <f t="shared" ref="G886:G902" si="324">SUM(H886:J886)</f>
        <v>0</v>
      </c>
      <c r="H886" s="33"/>
      <c r="I886" s="33"/>
      <c r="J886" s="33"/>
      <c r="K886" s="33"/>
      <c r="L886" s="33"/>
      <c r="M886" s="54">
        <f t="shared" ref="M886:M902" si="325">N886+O886-P886</f>
        <v>0</v>
      </c>
      <c r="N886" s="54"/>
      <c r="O886" s="54"/>
      <c r="P886" s="54"/>
      <c r="Q886" s="68">
        <f t="shared" ref="Q886:Q902" si="326">R886+S886-T886</f>
        <v>700</v>
      </c>
      <c r="R886" s="68"/>
      <c r="S886" s="68">
        <v>700</v>
      </c>
      <c r="T886" s="68"/>
      <c r="U886" s="129"/>
      <c r="V886" s="68">
        <f t="shared" ref="V886:V902" si="327">G886+K886+L886+M886+Q886-U886</f>
        <v>700</v>
      </c>
      <c r="W886" s="91" t="s">
        <v>3280</v>
      </c>
    </row>
    <row r="887" s="4" customFormat="1" ht="26.25" customHeight="1" spans="1:23">
      <c r="A887" s="117">
        <v>699005</v>
      </c>
      <c r="B887" s="29" t="s">
        <v>3670</v>
      </c>
      <c r="C887" s="35" t="s">
        <v>3673</v>
      </c>
      <c r="D887" s="76" t="s">
        <v>3674</v>
      </c>
      <c r="E887" s="30" t="s">
        <v>3675</v>
      </c>
      <c r="F887" s="32" t="s">
        <v>3676</v>
      </c>
      <c r="G887" s="33">
        <f t="shared" si="324"/>
        <v>0</v>
      </c>
      <c r="H887" s="33"/>
      <c r="I887" s="33"/>
      <c r="J887" s="33"/>
      <c r="K887" s="33"/>
      <c r="L887" s="33"/>
      <c r="M887" s="54">
        <f t="shared" si="325"/>
        <v>1600</v>
      </c>
      <c r="N887" s="54"/>
      <c r="O887" s="54">
        <v>1600</v>
      </c>
      <c r="P887" s="54"/>
      <c r="Q887" s="68">
        <f t="shared" si="326"/>
        <v>0</v>
      </c>
      <c r="R887" s="68"/>
      <c r="S887" s="68"/>
      <c r="T887" s="68"/>
      <c r="U887" s="129"/>
      <c r="V887" s="54">
        <f t="shared" si="327"/>
        <v>1600</v>
      </c>
      <c r="W887" s="92" t="s">
        <v>697</v>
      </c>
    </row>
    <row r="888" s="4" customFormat="1" ht="26.25" customHeight="1" spans="1:23">
      <c r="A888" s="117">
        <v>699005</v>
      </c>
      <c r="B888" s="29" t="s">
        <v>3670</v>
      </c>
      <c r="C888" s="35" t="s">
        <v>3673</v>
      </c>
      <c r="D888" s="76" t="s">
        <v>3674</v>
      </c>
      <c r="E888" s="30"/>
      <c r="F888" s="32" t="s">
        <v>3677</v>
      </c>
      <c r="G888" s="33">
        <f t="shared" si="324"/>
        <v>0</v>
      </c>
      <c r="H888" s="33"/>
      <c r="I888" s="33"/>
      <c r="J888" s="33"/>
      <c r="K888" s="33"/>
      <c r="L888" s="33"/>
      <c r="M888" s="54">
        <f t="shared" si="325"/>
        <v>30</v>
      </c>
      <c r="N888" s="54"/>
      <c r="O888" s="54">
        <v>30</v>
      </c>
      <c r="P888" s="54"/>
      <c r="Q888" s="68">
        <f t="shared" si="326"/>
        <v>0</v>
      </c>
      <c r="R888" s="68"/>
      <c r="S888" s="68"/>
      <c r="T888" s="68"/>
      <c r="U888" s="129"/>
      <c r="V888" s="54">
        <f t="shared" si="327"/>
        <v>30</v>
      </c>
      <c r="W888" s="92" t="s">
        <v>598</v>
      </c>
    </row>
    <row r="889" s="4" customFormat="1" ht="26.25" customHeight="1" spans="1:23">
      <c r="A889" s="117">
        <v>699005</v>
      </c>
      <c r="B889" s="29" t="s">
        <v>3670</v>
      </c>
      <c r="C889" s="35">
        <v>2129999</v>
      </c>
      <c r="D889" s="76"/>
      <c r="E889" s="30"/>
      <c r="F889" s="32" t="s">
        <v>3678</v>
      </c>
      <c r="G889" s="33">
        <f t="shared" si="324"/>
        <v>0</v>
      </c>
      <c r="H889" s="33"/>
      <c r="I889" s="33"/>
      <c r="J889" s="33"/>
      <c r="K889" s="33"/>
      <c r="L889" s="33"/>
      <c r="M889" s="54">
        <f t="shared" si="325"/>
        <v>20</v>
      </c>
      <c r="N889" s="54"/>
      <c r="O889" s="54">
        <v>105</v>
      </c>
      <c r="P889" s="73">
        <v>85</v>
      </c>
      <c r="Q889" s="68">
        <f t="shared" si="326"/>
        <v>0</v>
      </c>
      <c r="R889" s="68"/>
      <c r="S889" s="68"/>
      <c r="T889" s="68"/>
      <c r="U889" s="129"/>
      <c r="V889" s="54">
        <f t="shared" si="327"/>
        <v>20</v>
      </c>
      <c r="W889" s="92" t="s">
        <v>594</v>
      </c>
    </row>
    <row r="890" s="4" customFormat="1" ht="26.25" customHeight="1" spans="1:23">
      <c r="A890" s="117">
        <v>699005</v>
      </c>
      <c r="B890" s="29" t="s">
        <v>3670</v>
      </c>
      <c r="C890" s="35">
        <v>2130205</v>
      </c>
      <c r="D890" s="76"/>
      <c r="E890" s="30"/>
      <c r="F890" s="32" t="s">
        <v>3679</v>
      </c>
      <c r="G890" s="33">
        <f t="shared" si="324"/>
        <v>0</v>
      </c>
      <c r="H890" s="33"/>
      <c r="I890" s="33"/>
      <c r="J890" s="33"/>
      <c r="K890" s="33"/>
      <c r="L890" s="33"/>
      <c r="M890" s="54">
        <f t="shared" si="325"/>
        <v>20</v>
      </c>
      <c r="N890" s="54"/>
      <c r="O890" s="54">
        <v>20</v>
      </c>
      <c r="P890" s="54"/>
      <c r="Q890" s="68">
        <f t="shared" si="326"/>
        <v>0</v>
      </c>
      <c r="R890" s="68"/>
      <c r="S890" s="68"/>
      <c r="T890" s="68"/>
      <c r="U890" s="129"/>
      <c r="V890" s="54">
        <f t="shared" si="327"/>
        <v>20</v>
      </c>
      <c r="W890" s="92" t="s">
        <v>554</v>
      </c>
    </row>
    <row r="891" s="4" customFormat="1" ht="26.25" customHeight="1" spans="1:23">
      <c r="A891" s="117">
        <v>699005</v>
      </c>
      <c r="B891" s="29" t="s">
        <v>3670</v>
      </c>
      <c r="C891" s="35">
        <v>2130299</v>
      </c>
      <c r="D891" s="76"/>
      <c r="E891" s="30"/>
      <c r="F891" s="32" t="s">
        <v>3680</v>
      </c>
      <c r="G891" s="33">
        <f t="shared" si="324"/>
        <v>0</v>
      </c>
      <c r="H891" s="33"/>
      <c r="I891" s="33"/>
      <c r="J891" s="33"/>
      <c r="K891" s="33"/>
      <c r="L891" s="33"/>
      <c r="M891" s="54">
        <f t="shared" si="325"/>
        <v>13.6</v>
      </c>
      <c r="N891" s="54"/>
      <c r="O891" s="54">
        <v>13.6</v>
      </c>
      <c r="P891" s="54"/>
      <c r="Q891" s="68">
        <f t="shared" si="326"/>
        <v>0</v>
      </c>
      <c r="R891" s="68"/>
      <c r="S891" s="68"/>
      <c r="T891" s="68"/>
      <c r="U891" s="129"/>
      <c r="V891" s="54">
        <f t="shared" si="327"/>
        <v>13.6</v>
      </c>
      <c r="W891" s="92" t="s">
        <v>618</v>
      </c>
    </row>
    <row r="892" s="4" customFormat="1" ht="26.25" customHeight="1" spans="1:23">
      <c r="A892" s="117">
        <v>699005</v>
      </c>
      <c r="B892" s="29" t="s">
        <v>3670</v>
      </c>
      <c r="C892" s="35">
        <v>2130299</v>
      </c>
      <c r="D892" s="76"/>
      <c r="E892" s="30"/>
      <c r="F892" s="32" t="s">
        <v>3680</v>
      </c>
      <c r="G892" s="33">
        <f t="shared" si="324"/>
        <v>0</v>
      </c>
      <c r="H892" s="33"/>
      <c r="I892" s="33"/>
      <c r="J892" s="33"/>
      <c r="K892" s="33"/>
      <c r="L892" s="33"/>
      <c r="M892" s="54">
        <f t="shared" si="325"/>
        <v>10</v>
      </c>
      <c r="N892" s="54"/>
      <c r="O892" s="54">
        <v>10</v>
      </c>
      <c r="P892" s="54"/>
      <c r="Q892" s="68">
        <f t="shared" si="326"/>
        <v>0</v>
      </c>
      <c r="R892" s="68"/>
      <c r="S892" s="68"/>
      <c r="T892" s="68"/>
      <c r="U892" s="129"/>
      <c r="V892" s="54">
        <f t="shared" si="327"/>
        <v>10</v>
      </c>
      <c r="W892" s="92" t="s">
        <v>621</v>
      </c>
    </row>
    <row r="893" s="4" customFormat="1" ht="26.25" customHeight="1" spans="1:23">
      <c r="A893" s="117">
        <v>699005</v>
      </c>
      <c r="B893" s="29" t="s">
        <v>3670</v>
      </c>
      <c r="C893" s="35">
        <v>2169999</v>
      </c>
      <c r="D893" s="76"/>
      <c r="E893" s="30"/>
      <c r="F893" s="32" t="s">
        <v>3681</v>
      </c>
      <c r="G893" s="33">
        <f t="shared" si="324"/>
        <v>0</v>
      </c>
      <c r="H893" s="33"/>
      <c r="I893" s="33"/>
      <c r="J893" s="33"/>
      <c r="K893" s="33"/>
      <c r="L893" s="33"/>
      <c r="M893" s="54">
        <f t="shared" si="325"/>
        <v>800</v>
      </c>
      <c r="N893" s="54"/>
      <c r="O893" s="54">
        <v>800</v>
      </c>
      <c r="P893" s="54"/>
      <c r="Q893" s="68">
        <f t="shared" si="326"/>
        <v>0</v>
      </c>
      <c r="R893" s="68"/>
      <c r="S893" s="68"/>
      <c r="T893" s="68"/>
      <c r="U893" s="129"/>
      <c r="V893" s="54">
        <f t="shared" si="327"/>
        <v>800</v>
      </c>
      <c r="W893" s="92" t="s">
        <v>681</v>
      </c>
    </row>
    <row r="894" s="4" customFormat="1" ht="26.25" customHeight="1" spans="1:23">
      <c r="A894" s="117">
        <v>699005</v>
      </c>
      <c r="B894" s="29" t="s">
        <v>3670</v>
      </c>
      <c r="C894" s="35">
        <v>2249999</v>
      </c>
      <c r="D894" s="76"/>
      <c r="E894" s="30"/>
      <c r="F894" s="32" t="s">
        <v>3682</v>
      </c>
      <c r="G894" s="33">
        <f t="shared" si="324"/>
        <v>0</v>
      </c>
      <c r="H894" s="33"/>
      <c r="I894" s="33"/>
      <c r="J894" s="33"/>
      <c r="K894" s="33"/>
      <c r="L894" s="33"/>
      <c r="M894" s="54">
        <f t="shared" si="325"/>
        <v>10</v>
      </c>
      <c r="N894" s="54"/>
      <c r="O894" s="54">
        <v>10</v>
      </c>
      <c r="P894" s="54"/>
      <c r="Q894" s="68">
        <f t="shared" si="326"/>
        <v>0</v>
      </c>
      <c r="R894" s="68"/>
      <c r="S894" s="68"/>
      <c r="T894" s="68"/>
      <c r="U894" s="129"/>
      <c r="V894" s="54">
        <f t="shared" si="327"/>
        <v>10</v>
      </c>
      <c r="W894" s="92" t="s">
        <v>671</v>
      </c>
    </row>
    <row r="895" s="4" customFormat="1" ht="26.25" customHeight="1" spans="1:23">
      <c r="A895" s="117">
        <v>699005</v>
      </c>
      <c r="B895" s="29" t="s">
        <v>3670</v>
      </c>
      <c r="C895" s="35" t="s">
        <v>2412</v>
      </c>
      <c r="D895" s="38" t="s">
        <v>2310</v>
      </c>
      <c r="E895" s="121" t="s">
        <v>3675</v>
      </c>
      <c r="F895" s="38" t="s">
        <v>3676</v>
      </c>
      <c r="G895" s="33">
        <f t="shared" si="324"/>
        <v>0</v>
      </c>
      <c r="H895" s="33"/>
      <c r="I895" s="33"/>
      <c r="J895" s="33"/>
      <c r="K895" s="33"/>
      <c r="L895" s="33"/>
      <c r="M895" s="54">
        <f t="shared" si="325"/>
        <v>0</v>
      </c>
      <c r="N895" s="54"/>
      <c r="O895" s="54"/>
      <c r="P895" s="54"/>
      <c r="Q895" s="68">
        <f t="shared" si="326"/>
        <v>1500</v>
      </c>
      <c r="R895" s="68"/>
      <c r="S895" s="68">
        <v>1500</v>
      </c>
      <c r="T895" s="68"/>
      <c r="U895" s="129"/>
      <c r="V895" s="68">
        <f t="shared" si="327"/>
        <v>1500</v>
      </c>
      <c r="W895" s="91" t="s">
        <v>3004</v>
      </c>
    </row>
    <row r="896" s="4" customFormat="1" ht="26.25" customHeight="1" spans="1:23">
      <c r="A896" s="117">
        <v>699005</v>
      </c>
      <c r="B896" s="29" t="s">
        <v>3670</v>
      </c>
      <c r="C896" s="35">
        <v>2200199</v>
      </c>
      <c r="D896" s="38"/>
      <c r="E896" s="121"/>
      <c r="F896" s="38" t="s">
        <v>3683</v>
      </c>
      <c r="G896" s="33">
        <f t="shared" si="324"/>
        <v>0</v>
      </c>
      <c r="H896" s="33"/>
      <c r="I896" s="33"/>
      <c r="J896" s="33"/>
      <c r="K896" s="33"/>
      <c r="L896" s="33"/>
      <c r="M896" s="54">
        <f t="shared" si="325"/>
        <v>0</v>
      </c>
      <c r="N896" s="54"/>
      <c r="O896" s="54"/>
      <c r="P896" s="54"/>
      <c r="Q896" s="68">
        <f t="shared" si="326"/>
        <v>0</v>
      </c>
      <c r="R896" s="68"/>
      <c r="S896" s="68">
        <v>4.6</v>
      </c>
      <c r="T896" s="73">
        <v>4.6</v>
      </c>
      <c r="U896" s="129"/>
      <c r="V896" s="68">
        <f t="shared" si="327"/>
        <v>0</v>
      </c>
      <c r="W896" s="142" t="s">
        <v>3684</v>
      </c>
    </row>
    <row r="897" s="4" customFormat="1" ht="26.25" customHeight="1" spans="1:23">
      <c r="A897" s="117">
        <v>699005</v>
      </c>
      <c r="B897" s="29" t="s">
        <v>3670</v>
      </c>
      <c r="C897" s="35"/>
      <c r="D897" s="38"/>
      <c r="E897" s="121"/>
      <c r="F897" s="38" t="s">
        <v>3685</v>
      </c>
      <c r="G897" s="33">
        <f t="shared" si="324"/>
        <v>0</v>
      </c>
      <c r="H897" s="33"/>
      <c r="I897" s="33"/>
      <c r="J897" s="33"/>
      <c r="K897" s="33"/>
      <c r="L897" s="33"/>
      <c r="M897" s="54">
        <f t="shared" si="325"/>
        <v>0</v>
      </c>
      <c r="N897" s="54"/>
      <c r="O897" s="54"/>
      <c r="P897" s="54"/>
      <c r="Q897" s="68">
        <f t="shared" si="326"/>
        <v>0</v>
      </c>
      <c r="R897" s="68"/>
      <c r="S897" s="68">
        <v>62.7</v>
      </c>
      <c r="T897" s="73">
        <v>62.7</v>
      </c>
      <c r="U897" s="129"/>
      <c r="V897" s="68">
        <f t="shared" si="327"/>
        <v>0</v>
      </c>
      <c r="W897" s="142" t="s">
        <v>3686</v>
      </c>
    </row>
    <row r="898" s="4" customFormat="1" ht="26.25" customHeight="1" spans="1:23">
      <c r="A898" s="117">
        <v>699005</v>
      </c>
      <c r="B898" s="29" t="s">
        <v>3670</v>
      </c>
      <c r="C898" s="35"/>
      <c r="D898" s="38"/>
      <c r="E898" s="121"/>
      <c r="F898" s="38" t="s">
        <v>3687</v>
      </c>
      <c r="G898" s="33">
        <f t="shared" si="324"/>
        <v>0</v>
      </c>
      <c r="H898" s="33"/>
      <c r="I898" s="33"/>
      <c r="J898" s="33"/>
      <c r="K898" s="33"/>
      <c r="L898" s="33"/>
      <c r="M898" s="54">
        <f t="shared" si="325"/>
        <v>0</v>
      </c>
      <c r="N898" s="54"/>
      <c r="O898" s="54"/>
      <c r="P898" s="54"/>
      <c r="Q898" s="68">
        <f t="shared" si="326"/>
        <v>0</v>
      </c>
      <c r="R898" s="68"/>
      <c r="S898" s="68">
        <v>46</v>
      </c>
      <c r="T898" s="73">
        <v>46</v>
      </c>
      <c r="U898" s="129"/>
      <c r="V898" s="68">
        <f t="shared" si="327"/>
        <v>0</v>
      </c>
      <c r="W898" s="152" t="s">
        <v>3688</v>
      </c>
    </row>
    <row r="899" s="4" customFormat="1" ht="26.25" customHeight="1" spans="1:23">
      <c r="A899" s="117">
        <v>699005</v>
      </c>
      <c r="B899" s="29" t="s">
        <v>3670</v>
      </c>
      <c r="C899" s="35"/>
      <c r="D899" s="38"/>
      <c r="E899" s="121"/>
      <c r="F899" s="38" t="s">
        <v>3689</v>
      </c>
      <c r="G899" s="33">
        <f t="shared" si="324"/>
        <v>0</v>
      </c>
      <c r="H899" s="33"/>
      <c r="I899" s="33"/>
      <c r="J899" s="33"/>
      <c r="K899" s="33"/>
      <c r="L899" s="33"/>
      <c r="M899" s="54">
        <f t="shared" si="325"/>
        <v>0</v>
      </c>
      <c r="N899" s="54"/>
      <c r="O899" s="54"/>
      <c r="P899" s="54"/>
      <c r="Q899" s="68">
        <f t="shared" si="326"/>
        <v>0</v>
      </c>
      <c r="R899" s="68"/>
      <c r="S899" s="68">
        <v>255</v>
      </c>
      <c r="T899" s="73">
        <v>255</v>
      </c>
      <c r="U899" s="129"/>
      <c r="V899" s="68">
        <f t="shared" si="327"/>
        <v>0</v>
      </c>
      <c r="W899" s="91" t="s">
        <v>2550</v>
      </c>
    </row>
    <row r="900" s="4" customFormat="1" ht="26.25" customHeight="1" spans="1:23">
      <c r="A900" s="117">
        <v>699005</v>
      </c>
      <c r="B900" s="29" t="s">
        <v>3670</v>
      </c>
      <c r="C900" s="35"/>
      <c r="D900" s="38"/>
      <c r="E900" s="121"/>
      <c r="F900" s="38" t="s">
        <v>3690</v>
      </c>
      <c r="G900" s="33">
        <f t="shared" si="324"/>
        <v>0</v>
      </c>
      <c r="H900" s="33"/>
      <c r="I900" s="33"/>
      <c r="J900" s="33"/>
      <c r="K900" s="33"/>
      <c r="L900" s="33"/>
      <c r="M900" s="54">
        <f t="shared" si="325"/>
        <v>0</v>
      </c>
      <c r="N900" s="54"/>
      <c r="O900" s="54"/>
      <c r="P900" s="54"/>
      <c r="Q900" s="68">
        <f t="shared" si="326"/>
        <v>0</v>
      </c>
      <c r="R900" s="68"/>
      <c r="S900" s="68">
        <v>13</v>
      </c>
      <c r="T900" s="73">
        <v>13</v>
      </c>
      <c r="U900" s="129"/>
      <c r="V900" s="68">
        <f t="shared" si="327"/>
        <v>0</v>
      </c>
      <c r="W900" s="91" t="s">
        <v>3691</v>
      </c>
    </row>
    <row r="901" s="4" customFormat="1" ht="26.25" customHeight="1" spans="1:23">
      <c r="A901" s="117">
        <v>699005</v>
      </c>
      <c r="B901" s="29" t="s">
        <v>3670</v>
      </c>
      <c r="C901" s="35">
        <v>2069901</v>
      </c>
      <c r="D901" s="38"/>
      <c r="E901" s="30" t="s">
        <v>3692</v>
      </c>
      <c r="F901" s="86" t="s">
        <v>3693</v>
      </c>
      <c r="G901" s="33">
        <f t="shared" si="324"/>
        <v>0</v>
      </c>
      <c r="H901" s="33"/>
      <c r="I901" s="33"/>
      <c r="J901" s="33"/>
      <c r="K901" s="33"/>
      <c r="L901" s="33"/>
      <c r="M901" s="54">
        <f t="shared" si="325"/>
        <v>0</v>
      </c>
      <c r="N901" s="54"/>
      <c r="O901" s="54"/>
      <c r="P901" s="54"/>
      <c r="Q901" s="68">
        <f t="shared" si="326"/>
        <v>1700</v>
      </c>
      <c r="R901" s="68"/>
      <c r="S901" s="68">
        <v>1700</v>
      </c>
      <c r="T901" s="68"/>
      <c r="U901" s="129"/>
      <c r="V901" s="68">
        <f t="shared" si="327"/>
        <v>1700</v>
      </c>
      <c r="W901" s="91" t="s">
        <v>3694</v>
      </c>
    </row>
    <row r="902" s="4" customFormat="1" ht="26.25" customHeight="1" spans="1:23">
      <c r="A902" s="117">
        <v>699005</v>
      </c>
      <c r="B902" s="29" t="s">
        <v>3670</v>
      </c>
      <c r="C902" s="35" t="s">
        <v>3695</v>
      </c>
      <c r="D902" s="38" t="s">
        <v>3696</v>
      </c>
      <c r="E902" s="30" t="s">
        <v>3692</v>
      </c>
      <c r="F902" s="86" t="s">
        <v>3693</v>
      </c>
      <c r="G902" s="33">
        <f t="shared" si="324"/>
        <v>0</v>
      </c>
      <c r="H902" s="33"/>
      <c r="I902" s="33"/>
      <c r="J902" s="33"/>
      <c r="K902" s="33"/>
      <c r="L902" s="33"/>
      <c r="M902" s="54">
        <f t="shared" si="325"/>
        <v>0</v>
      </c>
      <c r="N902" s="54"/>
      <c r="O902" s="54"/>
      <c r="P902" s="54"/>
      <c r="Q902" s="68">
        <f t="shared" si="326"/>
        <v>300</v>
      </c>
      <c r="R902" s="68"/>
      <c r="S902" s="68">
        <v>300</v>
      </c>
      <c r="T902" s="68"/>
      <c r="U902" s="129"/>
      <c r="V902" s="68">
        <f t="shared" si="327"/>
        <v>300</v>
      </c>
      <c r="W902" s="91" t="s">
        <v>3694</v>
      </c>
    </row>
    <row r="903" s="4" customFormat="1" ht="26.25" customHeight="1" spans="1:23">
      <c r="A903" s="115">
        <v>699007</v>
      </c>
      <c r="B903" s="23" t="s">
        <v>1407</v>
      </c>
      <c r="C903" s="116"/>
      <c r="D903" s="116"/>
      <c r="E903" s="84"/>
      <c r="F903" s="26"/>
      <c r="G903" s="27">
        <f t="shared" ref="G903:V903" si="328">SUM(G904:G910)</f>
        <v>9000</v>
      </c>
      <c r="H903" s="27">
        <f t="shared" si="328"/>
        <v>9000</v>
      </c>
      <c r="I903" s="27">
        <f t="shared" si="328"/>
        <v>0</v>
      </c>
      <c r="J903" s="27">
        <f t="shared" si="328"/>
        <v>0</v>
      </c>
      <c r="K903" s="27">
        <f t="shared" si="328"/>
        <v>15</v>
      </c>
      <c r="L903" s="27">
        <f t="shared" si="328"/>
        <v>100</v>
      </c>
      <c r="M903" s="27">
        <f t="shared" si="328"/>
        <v>0</v>
      </c>
      <c r="N903" s="27">
        <f t="shared" si="328"/>
        <v>0</v>
      </c>
      <c r="O903" s="27">
        <f t="shared" si="328"/>
        <v>0</v>
      </c>
      <c r="P903" s="27">
        <f t="shared" si="328"/>
        <v>0</v>
      </c>
      <c r="Q903" s="27">
        <f t="shared" si="328"/>
        <v>40</v>
      </c>
      <c r="R903" s="27">
        <f t="shared" si="328"/>
        <v>0</v>
      </c>
      <c r="S903" s="27">
        <f t="shared" si="328"/>
        <v>51</v>
      </c>
      <c r="T903" s="27">
        <f t="shared" si="328"/>
        <v>11</v>
      </c>
      <c r="U903" s="27">
        <f t="shared" si="328"/>
        <v>7400</v>
      </c>
      <c r="V903" s="27">
        <f t="shared" si="328"/>
        <v>1755</v>
      </c>
      <c r="W903" s="67"/>
    </row>
    <row r="904" s="4" customFormat="1" ht="26.25" customHeight="1" spans="1:23">
      <c r="A904" s="117">
        <v>699007</v>
      </c>
      <c r="B904" s="29" t="s">
        <v>3697</v>
      </c>
      <c r="C904" s="118" t="s">
        <v>3698</v>
      </c>
      <c r="D904" s="146" t="s">
        <v>3699</v>
      </c>
      <c r="E904" s="30" t="s">
        <v>3700</v>
      </c>
      <c r="F904" s="32" t="s">
        <v>1104</v>
      </c>
      <c r="G904" s="33">
        <f t="shared" ref="G904:G910" si="329">SUM(H904:J904)</f>
        <v>1600</v>
      </c>
      <c r="H904" s="33">
        <v>1600</v>
      </c>
      <c r="I904" s="33"/>
      <c r="J904" s="33"/>
      <c r="K904" s="33"/>
      <c r="L904" s="33">
        <v>100</v>
      </c>
      <c r="M904" s="54">
        <f t="shared" ref="M904:M910" si="330">N904+O904-P904</f>
        <v>0</v>
      </c>
      <c r="N904" s="54"/>
      <c r="O904" s="54"/>
      <c r="P904" s="54"/>
      <c r="Q904" s="68">
        <f t="shared" ref="Q904:Q910" si="331">R904+S904-T904</f>
        <v>0</v>
      </c>
      <c r="R904" s="68"/>
      <c r="S904" s="68"/>
      <c r="T904" s="68"/>
      <c r="U904" s="129"/>
      <c r="V904" s="33">
        <f t="shared" ref="V904:V910" si="332">G904+K904+L904+M904+Q904-U904</f>
        <v>1700</v>
      </c>
      <c r="W904" s="130" t="s">
        <v>2283</v>
      </c>
    </row>
    <row r="905" s="4" customFormat="1" ht="26.25" customHeight="1" spans="1:23">
      <c r="A905" s="117">
        <v>699007</v>
      </c>
      <c r="B905" s="29" t="s">
        <v>3697</v>
      </c>
      <c r="C905" s="118" t="s">
        <v>3701</v>
      </c>
      <c r="D905" s="146" t="s">
        <v>891</v>
      </c>
      <c r="E905" s="30" t="s">
        <v>3702</v>
      </c>
      <c r="F905" s="32" t="s">
        <v>891</v>
      </c>
      <c r="G905" s="33">
        <f t="shared" si="329"/>
        <v>4400</v>
      </c>
      <c r="H905" s="33">
        <v>4400</v>
      </c>
      <c r="I905" s="33"/>
      <c r="J905" s="33"/>
      <c r="K905" s="33"/>
      <c r="L905" s="33"/>
      <c r="M905" s="54">
        <f t="shared" si="330"/>
        <v>0</v>
      </c>
      <c r="N905" s="54"/>
      <c r="O905" s="54"/>
      <c r="P905" s="54"/>
      <c r="Q905" s="68">
        <f t="shared" si="331"/>
        <v>0</v>
      </c>
      <c r="R905" s="68"/>
      <c r="S905" s="68"/>
      <c r="T905" s="68"/>
      <c r="U905" s="33">
        <v>4400</v>
      </c>
      <c r="V905" s="33">
        <f t="shared" si="332"/>
        <v>0</v>
      </c>
      <c r="W905" s="130" t="s">
        <v>2283</v>
      </c>
    </row>
    <row r="906" s="4" customFormat="1" ht="26.25" customHeight="1" spans="1:23">
      <c r="A906" s="117">
        <v>699007</v>
      </c>
      <c r="B906" s="29" t="s">
        <v>3697</v>
      </c>
      <c r="C906" s="118" t="s">
        <v>3703</v>
      </c>
      <c r="D906" s="146" t="s">
        <v>1105</v>
      </c>
      <c r="E906" s="30" t="s">
        <v>3704</v>
      </c>
      <c r="F906" s="32" t="s">
        <v>1105</v>
      </c>
      <c r="G906" s="33">
        <f t="shared" si="329"/>
        <v>3000</v>
      </c>
      <c r="H906" s="33">
        <v>3000</v>
      </c>
      <c r="I906" s="33"/>
      <c r="J906" s="33"/>
      <c r="K906" s="33"/>
      <c r="L906" s="33"/>
      <c r="M906" s="54">
        <f t="shared" si="330"/>
        <v>0</v>
      </c>
      <c r="N906" s="54"/>
      <c r="O906" s="54"/>
      <c r="P906" s="54"/>
      <c r="Q906" s="68">
        <f t="shared" si="331"/>
        <v>0</v>
      </c>
      <c r="R906" s="68"/>
      <c r="S906" s="68"/>
      <c r="T906" s="68"/>
      <c r="U906" s="129">
        <v>3000</v>
      </c>
      <c r="V906" s="33">
        <f t="shared" si="332"/>
        <v>0</v>
      </c>
      <c r="W906" s="130" t="s">
        <v>2283</v>
      </c>
    </row>
    <row r="907" s="4" customFormat="1" ht="26.25" customHeight="1" spans="1:23">
      <c r="A907" s="117">
        <v>699007</v>
      </c>
      <c r="B907" s="29" t="s">
        <v>3697</v>
      </c>
      <c r="C907" s="118" t="s">
        <v>2412</v>
      </c>
      <c r="D907" s="146" t="s">
        <v>1105</v>
      </c>
      <c r="E907" s="121" t="s">
        <v>3705</v>
      </c>
      <c r="F907" s="35" t="s">
        <v>3706</v>
      </c>
      <c r="G907" s="33">
        <f t="shared" si="329"/>
        <v>0</v>
      </c>
      <c r="H907" s="33"/>
      <c r="I907" s="33"/>
      <c r="J907" s="33"/>
      <c r="K907" s="55">
        <v>15</v>
      </c>
      <c r="L907" s="33"/>
      <c r="M907" s="54">
        <f t="shared" si="330"/>
        <v>0</v>
      </c>
      <c r="N907" s="54"/>
      <c r="O907" s="54"/>
      <c r="P907" s="54"/>
      <c r="Q907" s="68">
        <f t="shared" si="331"/>
        <v>0</v>
      </c>
      <c r="R907" s="68"/>
      <c r="S907" s="68"/>
      <c r="T907" s="68"/>
      <c r="U907" s="129"/>
      <c r="V907" s="33">
        <f t="shared" si="332"/>
        <v>15</v>
      </c>
      <c r="W907" s="130" t="s">
        <v>2283</v>
      </c>
    </row>
    <row r="908" s="4" customFormat="1" ht="26.25" customHeight="1" spans="1:23">
      <c r="A908" s="117">
        <v>699007</v>
      </c>
      <c r="B908" s="29" t="s">
        <v>3697</v>
      </c>
      <c r="C908" s="35" t="s">
        <v>2412</v>
      </c>
      <c r="D908" s="38" t="s">
        <v>2310</v>
      </c>
      <c r="E908" s="121"/>
      <c r="F908" s="38" t="s">
        <v>3707</v>
      </c>
      <c r="G908" s="33">
        <f t="shared" si="329"/>
        <v>0</v>
      </c>
      <c r="H908" s="33"/>
      <c r="I908" s="33"/>
      <c r="J908" s="33"/>
      <c r="K908" s="33"/>
      <c r="L908" s="33"/>
      <c r="M908" s="54">
        <f t="shared" si="330"/>
        <v>0</v>
      </c>
      <c r="N908" s="54"/>
      <c r="O908" s="54"/>
      <c r="P908" s="54"/>
      <c r="Q908" s="68">
        <f t="shared" si="331"/>
        <v>35</v>
      </c>
      <c r="R908" s="68"/>
      <c r="S908" s="68">
        <v>35</v>
      </c>
      <c r="T908" s="68"/>
      <c r="U908" s="129"/>
      <c r="V908" s="68">
        <f t="shared" si="332"/>
        <v>35</v>
      </c>
      <c r="W908" s="91" t="s">
        <v>3465</v>
      </c>
    </row>
    <row r="909" s="4" customFormat="1" ht="26.25" customHeight="1" spans="1:23">
      <c r="A909" s="117">
        <v>699007</v>
      </c>
      <c r="B909" s="29" t="s">
        <v>3697</v>
      </c>
      <c r="C909" s="35"/>
      <c r="D909" s="38"/>
      <c r="E909" s="127"/>
      <c r="F909" s="38" t="s">
        <v>3708</v>
      </c>
      <c r="G909" s="33">
        <f t="shared" si="329"/>
        <v>0</v>
      </c>
      <c r="H909" s="33"/>
      <c r="I909" s="33"/>
      <c r="J909" s="33"/>
      <c r="K909" s="33"/>
      <c r="L909" s="33"/>
      <c r="M909" s="54">
        <f t="shared" si="330"/>
        <v>0</v>
      </c>
      <c r="N909" s="54"/>
      <c r="O909" s="54"/>
      <c r="P909" s="54"/>
      <c r="Q909" s="68">
        <f t="shared" si="331"/>
        <v>0</v>
      </c>
      <c r="R909" s="68"/>
      <c r="S909" s="68">
        <v>11</v>
      </c>
      <c r="T909" s="73">
        <v>11</v>
      </c>
      <c r="U909" s="129"/>
      <c r="V909" s="68">
        <f t="shared" si="332"/>
        <v>0</v>
      </c>
      <c r="W909" s="152" t="s">
        <v>3709</v>
      </c>
    </row>
    <row r="910" s="4" customFormat="1" ht="26.25" customHeight="1" spans="1:23">
      <c r="A910" s="117">
        <v>699007</v>
      </c>
      <c r="B910" s="29" t="s">
        <v>3697</v>
      </c>
      <c r="C910" s="35">
        <v>2040299</v>
      </c>
      <c r="D910" s="38"/>
      <c r="E910" s="121"/>
      <c r="F910" s="38" t="s">
        <v>2389</v>
      </c>
      <c r="G910" s="33">
        <f t="shared" si="329"/>
        <v>0</v>
      </c>
      <c r="H910" s="33"/>
      <c r="I910" s="33"/>
      <c r="J910" s="33"/>
      <c r="K910" s="33"/>
      <c r="L910" s="33"/>
      <c r="M910" s="54">
        <f t="shared" si="330"/>
        <v>0</v>
      </c>
      <c r="N910" s="54"/>
      <c r="O910" s="54"/>
      <c r="P910" s="54"/>
      <c r="Q910" s="68">
        <f t="shared" si="331"/>
        <v>5</v>
      </c>
      <c r="R910" s="68"/>
      <c r="S910" s="68">
        <v>5</v>
      </c>
      <c r="T910" s="68"/>
      <c r="U910" s="129"/>
      <c r="V910" s="68">
        <f t="shared" si="332"/>
        <v>5</v>
      </c>
      <c r="W910" s="152" t="s">
        <v>3710</v>
      </c>
    </row>
    <row r="911" s="4" customFormat="1" ht="26.25" customHeight="1" spans="1:23">
      <c r="A911" s="115" t="s">
        <v>3711</v>
      </c>
      <c r="B911" s="23" t="s">
        <v>1407</v>
      </c>
      <c r="C911" s="116"/>
      <c r="D911" s="116"/>
      <c r="E911" s="84"/>
      <c r="F911" s="26"/>
      <c r="G911" s="27">
        <f t="shared" ref="G911:V911" si="333">SUM(G912:G916)</f>
        <v>4020</v>
      </c>
      <c r="H911" s="27">
        <f t="shared" si="333"/>
        <v>4020</v>
      </c>
      <c r="I911" s="27">
        <f t="shared" si="333"/>
        <v>0</v>
      </c>
      <c r="J911" s="27">
        <f t="shared" si="333"/>
        <v>0</v>
      </c>
      <c r="K911" s="27">
        <f t="shared" si="333"/>
        <v>-1607</v>
      </c>
      <c r="L911" s="27">
        <f t="shared" si="333"/>
        <v>0</v>
      </c>
      <c r="M911" s="27">
        <f t="shared" si="333"/>
        <v>0</v>
      </c>
      <c r="N911" s="27">
        <f t="shared" si="333"/>
        <v>0</v>
      </c>
      <c r="O911" s="27">
        <f t="shared" si="333"/>
        <v>0</v>
      </c>
      <c r="P911" s="27">
        <f t="shared" si="333"/>
        <v>0</v>
      </c>
      <c r="Q911" s="27">
        <f t="shared" si="333"/>
        <v>0</v>
      </c>
      <c r="R911" s="27">
        <f t="shared" si="333"/>
        <v>0</v>
      </c>
      <c r="S911" s="27">
        <f t="shared" si="333"/>
        <v>0</v>
      </c>
      <c r="T911" s="27">
        <f t="shared" si="333"/>
        <v>0</v>
      </c>
      <c r="U911" s="27">
        <f t="shared" si="333"/>
        <v>2408</v>
      </c>
      <c r="V911" s="27">
        <f t="shared" si="333"/>
        <v>5</v>
      </c>
      <c r="W911" s="67"/>
    </row>
    <row r="912" s="4" customFormat="1" ht="26.25" customHeight="1" spans="1:23">
      <c r="A912" s="117" t="s">
        <v>3712</v>
      </c>
      <c r="B912" s="29" t="s">
        <v>3697</v>
      </c>
      <c r="C912" s="118" t="s">
        <v>3703</v>
      </c>
      <c r="D912" s="146" t="s">
        <v>1105</v>
      </c>
      <c r="E912" s="37" t="s">
        <v>3713</v>
      </c>
      <c r="F912" s="77" t="s">
        <v>1106</v>
      </c>
      <c r="G912" s="33">
        <f t="shared" ref="G912:G916" si="334">SUM(H912:J912)</f>
        <v>1000</v>
      </c>
      <c r="H912" s="33">
        <v>1000</v>
      </c>
      <c r="I912" s="33"/>
      <c r="J912" s="33"/>
      <c r="K912" s="55"/>
      <c r="L912" s="33"/>
      <c r="M912" s="54">
        <f t="shared" ref="M912:M916" si="335">N912+O912-P912</f>
        <v>0</v>
      </c>
      <c r="N912" s="54"/>
      <c r="O912" s="54"/>
      <c r="P912" s="54"/>
      <c r="Q912" s="68">
        <f t="shared" ref="Q912:Q916" si="336">R912+S912-T912</f>
        <v>0</v>
      </c>
      <c r="R912" s="68"/>
      <c r="S912" s="68"/>
      <c r="T912" s="68"/>
      <c r="U912" s="129">
        <v>1000</v>
      </c>
      <c r="V912" s="33">
        <f t="shared" ref="V912:V916" si="337">G912+K912+L912+M912+Q912-U912</f>
        <v>0</v>
      </c>
      <c r="W912" s="130" t="s">
        <v>2283</v>
      </c>
    </row>
    <row r="913" s="4" customFormat="1" ht="26.25" customHeight="1" spans="1:23">
      <c r="A913" s="117" t="s">
        <v>3712</v>
      </c>
      <c r="B913" s="29" t="s">
        <v>3697</v>
      </c>
      <c r="C913" s="118" t="s">
        <v>3703</v>
      </c>
      <c r="D913" s="146" t="s">
        <v>1105</v>
      </c>
      <c r="E913" s="30" t="s">
        <v>3714</v>
      </c>
      <c r="F913" s="42" t="s">
        <v>1108</v>
      </c>
      <c r="G913" s="33">
        <f t="shared" si="334"/>
        <v>1000</v>
      </c>
      <c r="H913" s="33">
        <v>1000</v>
      </c>
      <c r="I913" s="33"/>
      <c r="J913" s="33"/>
      <c r="K913" s="55">
        <f>-12-100</f>
        <v>-112</v>
      </c>
      <c r="L913" s="33"/>
      <c r="M913" s="54">
        <f t="shared" si="335"/>
        <v>0</v>
      </c>
      <c r="N913" s="54"/>
      <c r="O913" s="54"/>
      <c r="P913" s="54"/>
      <c r="Q913" s="68">
        <f t="shared" si="336"/>
        <v>0</v>
      </c>
      <c r="R913" s="68"/>
      <c r="S913" s="68"/>
      <c r="T913" s="68"/>
      <c r="U913" s="141">
        <v>888</v>
      </c>
      <c r="V913" s="33">
        <f t="shared" si="337"/>
        <v>0</v>
      </c>
      <c r="W913" s="130" t="s">
        <v>2283</v>
      </c>
    </row>
    <row r="914" s="4" customFormat="1" ht="26.25" customHeight="1" spans="1:23">
      <c r="A914" s="117" t="s">
        <v>3712</v>
      </c>
      <c r="B914" s="29" t="s">
        <v>3697</v>
      </c>
      <c r="C914" s="118" t="s">
        <v>3703</v>
      </c>
      <c r="D914" s="146" t="s">
        <v>1105</v>
      </c>
      <c r="E914" s="30" t="s">
        <v>3715</v>
      </c>
      <c r="F914" s="42" t="s">
        <v>1109</v>
      </c>
      <c r="G914" s="33">
        <f t="shared" si="334"/>
        <v>1500</v>
      </c>
      <c r="H914" s="33">
        <v>1500</v>
      </c>
      <c r="I914" s="33"/>
      <c r="J914" s="33"/>
      <c r="K914" s="55">
        <f>-385.052141-594.947859</f>
        <v>-980</v>
      </c>
      <c r="L914" s="33"/>
      <c r="M914" s="54">
        <f t="shared" si="335"/>
        <v>0</v>
      </c>
      <c r="N914" s="54"/>
      <c r="O914" s="54"/>
      <c r="P914" s="54"/>
      <c r="Q914" s="68">
        <f t="shared" si="336"/>
        <v>0</v>
      </c>
      <c r="R914" s="68"/>
      <c r="S914" s="68"/>
      <c r="T914" s="68"/>
      <c r="U914" s="129">
        <v>520</v>
      </c>
      <c r="V914" s="33">
        <f t="shared" si="337"/>
        <v>0</v>
      </c>
      <c r="W914" s="130" t="s">
        <v>2283</v>
      </c>
    </row>
    <row r="915" s="4" customFormat="1" ht="26.25" customHeight="1" spans="1:23">
      <c r="A915" s="117" t="s">
        <v>3712</v>
      </c>
      <c r="B915" s="29" t="s">
        <v>3697</v>
      </c>
      <c r="C915" s="118" t="s">
        <v>3703</v>
      </c>
      <c r="D915" s="146" t="s">
        <v>1105</v>
      </c>
      <c r="E915" s="30" t="s">
        <v>3716</v>
      </c>
      <c r="F915" s="118" t="s">
        <v>1087</v>
      </c>
      <c r="G915" s="33">
        <f t="shared" si="334"/>
        <v>500</v>
      </c>
      <c r="H915" s="33">
        <v>500</v>
      </c>
      <c r="I915" s="33"/>
      <c r="J915" s="33"/>
      <c r="K915" s="55">
        <v>-500</v>
      </c>
      <c r="L915" s="33"/>
      <c r="M915" s="54">
        <f t="shared" si="335"/>
        <v>0</v>
      </c>
      <c r="N915" s="54"/>
      <c r="O915" s="54"/>
      <c r="P915" s="54"/>
      <c r="Q915" s="68">
        <f t="shared" si="336"/>
        <v>0</v>
      </c>
      <c r="R915" s="68"/>
      <c r="S915" s="68"/>
      <c r="T915" s="68"/>
      <c r="U915" s="129"/>
      <c r="V915" s="33">
        <f t="shared" si="337"/>
        <v>0</v>
      </c>
      <c r="W915" s="130" t="s">
        <v>2283</v>
      </c>
    </row>
    <row r="916" s="4" customFormat="1" ht="26.25" customHeight="1" spans="1:23">
      <c r="A916" s="117" t="s">
        <v>3712</v>
      </c>
      <c r="B916" s="29" t="s">
        <v>3697</v>
      </c>
      <c r="C916" s="118" t="s">
        <v>2412</v>
      </c>
      <c r="D916" s="146" t="s">
        <v>2310</v>
      </c>
      <c r="E916" s="30" t="s">
        <v>3717</v>
      </c>
      <c r="F916" s="35" t="s">
        <v>3706</v>
      </c>
      <c r="G916" s="33">
        <f t="shared" si="334"/>
        <v>20</v>
      </c>
      <c r="H916" s="33">
        <v>20</v>
      </c>
      <c r="I916" s="33"/>
      <c r="J916" s="33"/>
      <c r="K916" s="55">
        <v>-15</v>
      </c>
      <c r="L916" s="33"/>
      <c r="M916" s="54">
        <f t="shared" si="335"/>
        <v>0</v>
      </c>
      <c r="N916" s="54"/>
      <c r="O916" s="54"/>
      <c r="P916" s="54"/>
      <c r="Q916" s="68">
        <f t="shared" si="336"/>
        <v>0</v>
      </c>
      <c r="R916" s="68"/>
      <c r="S916" s="68"/>
      <c r="T916" s="68"/>
      <c r="U916" s="129"/>
      <c r="V916" s="33">
        <f t="shared" si="337"/>
        <v>5</v>
      </c>
      <c r="W916" s="130" t="s">
        <v>2283</v>
      </c>
    </row>
    <row r="917" s="4" customFormat="1" ht="26.25" customHeight="1" spans="1:23">
      <c r="A917" s="115">
        <v>699009</v>
      </c>
      <c r="B917" s="23" t="s">
        <v>1409</v>
      </c>
      <c r="C917" s="116"/>
      <c r="D917" s="116"/>
      <c r="E917" s="84"/>
      <c r="F917" s="26"/>
      <c r="G917" s="27">
        <f t="shared" ref="G917:V917" si="338">SUM(G918:G922)</f>
        <v>24444</v>
      </c>
      <c r="H917" s="27">
        <f t="shared" si="338"/>
        <v>24444</v>
      </c>
      <c r="I917" s="27">
        <f t="shared" si="338"/>
        <v>0</v>
      </c>
      <c r="J917" s="27">
        <f t="shared" si="338"/>
        <v>0</v>
      </c>
      <c r="K917" s="27">
        <f t="shared" si="338"/>
        <v>0</v>
      </c>
      <c r="L917" s="27">
        <f t="shared" si="338"/>
        <v>0</v>
      </c>
      <c r="M917" s="27">
        <f t="shared" si="338"/>
        <v>1020</v>
      </c>
      <c r="N917" s="27">
        <f t="shared" si="338"/>
        <v>0</v>
      </c>
      <c r="O917" s="27">
        <f t="shared" si="338"/>
        <v>4320</v>
      </c>
      <c r="P917" s="27">
        <f t="shared" si="338"/>
        <v>3300</v>
      </c>
      <c r="Q917" s="27">
        <f t="shared" si="338"/>
        <v>0</v>
      </c>
      <c r="R917" s="27">
        <f t="shared" si="338"/>
        <v>0</v>
      </c>
      <c r="S917" s="27">
        <f t="shared" si="338"/>
        <v>0</v>
      </c>
      <c r="T917" s="27">
        <f t="shared" si="338"/>
        <v>0</v>
      </c>
      <c r="U917" s="27">
        <f t="shared" si="338"/>
        <v>590</v>
      </c>
      <c r="V917" s="27">
        <f t="shared" si="338"/>
        <v>24874</v>
      </c>
      <c r="W917" s="67"/>
    </row>
    <row r="918" s="4" customFormat="1" ht="26.25" customHeight="1" spans="1:23">
      <c r="A918" s="117">
        <v>699009</v>
      </c>
      <c r="B918" s="29" t="s">
        <v>3718</v>
      </c>
      <c r="C918" s="118" t="s">
        <v>3719</v>
      </c>
      <c r="D918" s="146" t="s">
        <v>3720</v>
      </c>
      <c r="E918" s="30" t="s">
        <v>3721</v>
      </c>
      <c r="F918" s="32" t="s">
        <v>3722</v>
      </c>
      <c r="G918" s="33">
        <f t="shared" ref="G918:G922" si="339">SUM(H918:J918)</f>
        <v>20454</v>
      </c>
      <c r="H918" s="33">
        <v>20454</v>
      </c>
      <c r="I918" s="33"/>
      <c r="J918" s="33"/>
      <c r="K918" s="33"/>
      <c r="L918" s="33"/>
      <c r="M918" s="54">
        <f t="shared" ref="M918:M922" si="340">N918+O918-P918</f>
        <v>0</v>
      </c>
      <c r="N918" s="54"/>
      <c r="O918" s="54"/>
      <c r="P918" s="54"/>
      <c r="Q918" s="68">
        <f t="shared" ref="Q918:Q922" si="341">R918+S918-T918</f>
        <v>0</v>
      </c>
      <c r="R918" s="68"/>
      <c r="S918" s="68"/>
      <c r="T918" s="68"/>
      <c r="U918" s="129"/>
      <c r="V918" s="33">
        <f t="shared" ref="V918:V922" si="342">G918+K918+L918+M918+Q918-U918</f>
        <v>20454</v>
      </c>
      <c r="W918" s="130" t="s">
        <v>2283</v>
      </c>
    </row>
    <row r="919" s="4" customFormat="1" ht="26.25" customHeight="1" spans="1:23">
      <c r="A919" s="117">
        <v>699009</v>
      </c>
      <c r="B919" s="29" t="s">
        <v>3718</v>
      </c>
      <c r="C919" s="118" t="s">
        <v>3723</v>
      </c>
      <c r="D919" s="146" t="s">
        <v>3724</v>
      </c>
      <c r="E919" s="30" t="s">
        <v>3725</v>
      </c>
      <c r="F919" s="32" t="s">
        <v>3726</v>
      </c>
      <c r="G919" s="33">
        <f t="shared" si="339"/>
        <v>3940</v>
      </c>
      <c r="H919" s="33">
        <v>3940</v>
      </c>
      <c r="I919" s="33"/>
      <c r="J919" s="33"/>
      <c r="K919" s="33"/>
      <c r="L919" s="33"/>
      <c r="M919" s="54">
        <f t="shared" si="340"/>
        <v>0</v>
      </c>
      <c r="N919" s="54"/>
      <c r="O919" s="54"/>
      <c r="P919" s="54"/>
      <c r="Q919" s="68">
        <f t="shared" si="341"/>
        <v>0</v>
      </c>
      <c r="R919" s="68"/>
      <c r="S919" s="68"/>
      <c r="T919" s="68"/>
      <c r="U919" s="129">
        <v>590</v>
      </c>
      <c r="V919" s="33">
        <f t="shared" si="342"/>
        <v>3350</v>
      </c>
      <c r="W919" s="130" t="s">
        <v>2283</v>
      </c>
    </row>
    <row r="920" s="4" customFormat="1" ht="26.25" customHeight="1" spans="1:23">
      <c r="A920" s="117">
        <v>699009</v>
      </c>
      <c r="B920" s="29" t="s">
        <v>3718</v>
      </c>
      <c r="C920" s="118" t="s">
        <v>3727</v>
      </c>
      <c r="D920" s="146" t="s">
        <v>3728</v>
      </c>
      <c r="E920" s="30" t="s">
        <v>3729</v>
      </c>
      <c r="F920" s="32" t="s">
        <v>3730</v>
      </c>
      <c r="G920" s="33">
        <f t="shared" si="339"/>
        <v>50</v>
      </c>
      <c r="H920" s="33">
        <v>50</v>
      </c>
      <c r="I920" s="33"/>
      <c r="J920" s="33"/>
      <c r="K920" s="33"/>
      <c r="L920" s="33"/>
      <c r="M920" s="54">
        <f t="shared" si="340"/>
        <v>0</v>
      </c>
      <c r="N920" s="54"/>
      <c r="O920" s="54"/>
      <c r="P920" s="54"/>
      <c r="Q920" s="68">
        <f t="shared" si="341"/>
        <v>0</v>
      </c>
      <c r="R920" s="68"/>
      <c r="S920" s="68"/>
      <c r="T920" s="68"/>
      <c r="U920" s="129"/>
      <c r="V920" s="33">
        <f t="shared" si="342"/>
        <v>50</v>
      </c>
      <c r="W920" s="130" t="s">
        <v>2283</v>
      </c>
    </row>
    <row r="921" s="4" customFormat="1" ht="26.25" customHeight="1" spans="1:23">
      <c r="A921" s="117">
        <v>699009</v>
      </c>
      <c r="B921" s="29" t="s">
        <v>3718</v>
      </c>
      <c r="C921" s="118">
        <v>2050203</v>
      </c>
      <c r="D921" s="82" t="s">
        <v>1786</v>
      </c>
      <c r="E921" s="30"/>
      <c r="F921" s="82" t="s">
        <v>1012</v>
      </c>
      <c r="G921" s="33">
        <f t="shared" si="339"/>
        <v>0</v>
      </c>
      <c r="H921" s="33"/>
      <c r="I921" s="33"/>
      <c r="J921" s="33"/>
      <c r="K921" s="33"/>
      <c r="L921" s="33"/>
      <c r="M921" s="54">
        <f t="shared" si="340"/>
        <v>286</v>
      </c>
      <c r="N921" s="54"/>
      <c r="O921" s="54">
        <f>3686-100</f>
        <v>3586</v>
      </c>
      <c r="P921" s="54">
        <v>3300</v>
      </c>
      <c r="Q921" s="68">
        <f t="shared" si="341"/>
        <v>0</v>
      </c>
      <c r="R921" s="68"/>
      <c r="S921" s="68"/>
      <c r="T921" s="68"/>
      <c r="U921" s="129"/>
      <c r="V921" s="54">
        <f t="shared" si="342"/>
        <v>286</v>
      </c>
      <c r="W921" s="95" t="s">
        <v>2674</v>
      </c>
    </row>
    <row r="922" s="4" customFormat="1" ht="26.25" customHeight="1" spans="1:23">
      <c r="A922" s="117">
        <v>699009</v>
      </c>
      <c r="B922" s="29" t="s">
        <v>3718</v>
      </c>
      <c r="C922" s="118">
        <v>2130504</v>
      </c>
      <c r="D922" s="82"/>
      <c r="E922" s="30"/>
      <c r="F922" s="82" t="s">
        <v>3731</v>
      </c>
      <c r="G922" s="33">
        <f t="shared" si="339"/>
        <v>0</v>
      </c>
      <c r="H922" s="33"/>
      <c r="I922" s="33"/>
      <c r="J922" s="33"/>
      <c r="K922" s="33"/>
      <c r="L922" s="33"/>
      <c r="M922" s="54">
        <f t="shared" si="340"/>
        <v>734</v>
      </c>
      <c r="N922" s="54"/>
      <c r="O922" s="54">
        <f>1014-280</f>
        <v>734</v>
      </c>
      <c r="P922" s="54"/>
      <c r="Q922" s="68">
        <f t="shared" si="341"/>
        <v>0</v>
      </c>
      <c r="R922" s="68"/>
      <c r="S922" s="68"/>
      <c r="T922" s="68"/>
      <c r="U922" s="129"/>
      <c r="V922" s="54">
        <f t="shared" si="342"/>
        <v>734</v>
      </c>
      <c r="W922" s="95" t="s">
        <v>2674</v>
      </c>
    </row>
    <row r="923" s="4" customFormat="1" ht="26.25" customHeight="1" spans="1:23">
      <c r="A923" s="115" t="s">
        <v>3732</v>
      </c>
      <c r="B923" s="23" t="s">
        <v>1411</v>
      </c>
      <c r="C923" s="116"/>
      <c r="D923" s="116"/>
      <c r="E923" s="84"/>
      <c r="F923" s="26"/>
      <c r="G923" s="27">
        <f t="shared" ref="G923:V923" si="343">SUM(G924)</f>
        <v>100</v>
      </c>
      <c r="H923" s="27">
        <f t="shared" si="343"/>
        <v>100</v>
      </c>
      <c r="I923" s="27">
        <f t="shared" si="343"/>
        <v>0</v>
      </c>
      <c r="J923" s="27">
        <f t="shared" si="343"/>
        <v>0</v>
      </c>
      <c r="K923" s="27">
        <f t="shared" si="343"/>
        <v>-100</v>
      </c>
      <c r="L923" s="27">
        <f t="shared" si="343"/>
        <v>0</v>
      </c>
      <c r="M923" s="27">
        <f t="shared" si="343"/>
        <v>0</v>
      </c>
      <c r="N923" s="27">
        <f t="shared" si="343"/>
        <v>0</v>
      </c>
      <c r="O923" s="27">
        <f t="shared" si="343"/>
        <v>0</v>
      </c>
      <c r="P923" s="27">
        <f t="shared" si="343"/>
        <v>0</v>
      </c>
      <c r="Q923" s="27">
        <f t="shared" si="343"/>
        <v>0</v>
      </c>
      <c r="R923" s="27">
        <f t="shared" si="343"/>
        <v>0</v>
      </c>
      <c r="S923" s="27">
        <f t="shared" si="343"/>
        <v>0</v>
      </c>
      <c r="T923" s="27">
        <f t="shared" si="343"/>
        <v>0</v>
      </c>
      <c r="U923" s="27">
        <f t="shared" si="343"/>
        <v>0</v>
      </c>
      <c r="V923" s="27">
        <f t="shared" si="343"/>
        <v>0</v>
      </c>
      <c r="W923" s="67"/>
    </row>
    <row r="924" s="4" customFormat="1" ht="26.25" customHeight="1" spans="1:23">
      <c r="A924" s="117" t="s">
        <v>3733</v>
      </c>
      <c r="B924" s="29" t="s">
        <v>3734</v>
      </c>
      <c r="C924" s="118" t="s">
        <v>2334</v>
      </c>
      <c r="D924" s="146" t="s">
        <v>2335</v>
      </c>
      <c r="E924" s="30" t="s">
        <v>3735</v>
      </c>
      <c r="F924" s="42" t="s">
        <v>3736</v>
      </c>
      <c r="G924" s="33">
        <f t="shared" ref="G924:G933" si="344">SUM(H924:J924)</f>
        <v>100</v>
      </c>
      <c r="H924" s="33">
        <v>100</v>
      </c>
      <c r="I924" s="33"/>
      <c r="J924" s="33"/>
      <c r="K924" s="55">
        <v>-100</v>
      </c>
      <c r="L924" s="33"/>
      <c r="M924" s="54">
        <f t="shared" ref="M924:M933" si="345">N924+O924-P924</f>
        <v>0</v>
      </c>
      <c r="N924" s="54"/>
      <c r="O924" s="54"/>
      <c r="P924" s="54"/>
      <c r="Q924" s="68">
        <f t="shared" ref="Q924:Q933" si="346">R924+S924-T924</f>
        <v>0</v>
      </c>
      <c r="R924" s="68"/>
      <c r="S924" s="68"/>
      <c r="T924" s="68"/>
      <c r="U924" s="129"/>
      <c r="V924" s="33">
        <f t="shared" ref="V924:V933" si="347">G924+K924+L924+M924+Q924-U924</f>
        <v>0</v>
      </c>
      <c r="W924" s="130" t="s">
        <v>2283</v>
      </c>
    </row>
    <row r="925" s="4" customFormat="1" ht="26.25" customHeight="1" spans="1:23">
      <c r="A925" s="115">
        <v>699010</v>
      </c>
      <c r="B925" s="23" t="s">
        <v>1411</v>
      </c>
      <c r="C925" s="116"/>
      <c r="D925" s="116"/>
      <c r="E925" s="84"/>
      <c r="F925" s="26"/>
      <c r="G925" s="27">
        <f t="shared" ref="G925:V925" si="348">SUM(G926:G933)</f>
        <v>1602</v>
      </c>
      <c r="H925" s="27">
        <f t="shared" si="348"/>
        <v>1602</v>
      </c>
      <c r="I925" s="27">
        <f t="shared" si="348"/>
        <v>0</v>
      </c>
      <c r="J925" s="27">
        <f t="shared" si="348"/>
        <v>0</v>
      </c>
      <c r="K925" s="27">
        <f t="shared" si="348"/>
        <v>100</v>
      </c>
      <c r="L925" s="27">
        <f t="shared" si="348"/>
        <v>71.062105</v>
      </c>
      <c r="M925" s="27">
        <f t="shared" si="348"/>
        <v>28</v>
      </c>
      <c r="N925" s="27">
        <f t="shared" si="348"/>
        <v>0</v>
      </c>
      <c r="O925" s="27">
        <f t="shared" si="348"/>
        <v>28</v>
      </c>
      <c r="P925" s="27">
        <f t="shared" si="348"/>
        <v>0</v>
      </c>
      <c r="Q925" s="27">
        <f t="shared" si="348"/>
        <v>27.044406</v>
      </c>
      <c r="R925" s="27">
        <f t="shared" si="348"/>
        <v>0</v>
      </c>
      <c r="S925" s="27">
        <f t="shared" si="348"/>
        <v>27.044406</v>
      </c>
      <c r="T925" s="27">
        <f t="shared" si="348"/>
        <v>0</v>
      </c>
      <c r="U925" s="27">
        <f t="shared" si="348"/>
        <v>1600</v>
      </c>
      <c r="V925" s="27">
        <f t="shared" si="348"/>
        <v>228.106511</v>
      </c>
      <c r="W925" s="67"/>
    </row>
    <row r="926" s="4" customFormat="1" ht="26.25" customHeight="1" spans="1:23">
      <c r="A926" s="117">
        <v>699010</v>
      </c>
      <c r="B926" s="29" t="s">
        <v>3734</v>
      </c>
      <c r="C926" s="118" t="s">
        <v>2334</v>
      </c>
      <c r="D926" s="146" t="s">
        <v>2335</v>
      </c>
      <c r="E926" s="121" t="s">
        <v>3737</v>
      </c>
      <c r="F926" s="35" t="s">
        <v>3736</v>
      </c>
      <c r="G926" s="33">
        <f t="shared" si="344"/>
        <v>0</v>
      </c>
      <c r="H926" s="33"/>
      <c r="I926" s="33"/>
      <c r="J926" s="33"/>
      <c r="K926" s="55">
        <v>100</v>
      </c>
      <c r="L926" s="33"/>
      <c r="M926" s="54">
        <f t="shared" si="345"/>
        <v>0</v>
      </c>
      <c r="N926" s="54"/>
      <c r="O926" s="54"/>
      <c r="P926" s="54"/>
      <c r="Q926" s="68">
        <f t="shared" si="346"/>
        <v>0</v>
      </c>
      <c r="R926" s="68"/>
      <c r="S926" s="68"/>
      <c r="T926" s="68"/>
      <c r="U926" s="129"/>
      <c r="V926" s="33">
        <f t="shared" si="347"/>
        <v>100</v>
      </c>
      <c r="W926" s="130" t="s">
        <v>2283</v>
      </c>
    </row>
    <row r="927" s="4" customFormat="1" ht="26.25" customHeight="1" spans="1:23">
      <c r="A927" s="117">
        <v>699010</v>
      </c>
      <c r="B927" s="29" t="s">
        <v>3734</v>
      </c>
      <c r="C927" s="118" t="s">
        <v>2921</v>
      </c>
      <c r="D927" s="146" t="s">
        <v>2922</v>
      </c>
      <c r="E927" s="30" t="s">
        <v>3738</v>
      </c>
      <c r="F927" s="32" t="s">
        <v>1112</v>
      </c>
      <c r="G927" s="33">
        <f t="shared" si="344"/>
        <v>1600</v>
      </c>
      <c r="H927" s="33">
        <v>1600</v>
      </c>
      <c r="I927" s="33"/>
      <c r="J927" s="33"/>
      <c r="K927" s="33"/>
      <c r="L927" s="33"/>
      <c r="M927" s="54">
        <f t="shared" si="345"/>
        <v>0</v>
      </c>
      <c r="N927" s="54"/>
      <c r="O927" s="54"/>
      <c r="P927" s="54"/>
      <c r="Q927" s="68">
        <f t="shared" si="346"/>
        <v>0</v>
      </c>
      <c r="R927" s="68"/>
      <c r="S927" s="68"/>
      <c r="T927" s="68"/>
      <c r="U927" s="129">
        <v>1600</v>
      </c>
      <c r="V927" s="33">
        <f t="shared" si="347"/>
        <v>0</v>
      </c>
      <c r="W927" s="130" t="s">
        <v>2283</v>
      </c>
    </row>
    <row r="928" s="4" customFormat="1" ht="26.25" customHeight="1" spans="1:23">
      <c r="A928" s="117">
        <v>699010</v>
      </c>
      <c r="B928" s="29" t="s">
        <v>3734</v>
      </c>
      <c r="C928" s="118" t="s">
        <v>3739</v>
      </c>
      <c r="D928" s="82" t="s">
        <v>3740</v>
      </c>
      <c r="E928" s="127" t="s">
        <v>3741</v>
      </c>
      <c r="F928" s="35" t="s">
        <v>3740</v>
      </c>
      <c r="G928" s="33">
        <f t="shared" si="344"/>
        <v>0</v>
      </c>
      <c r="H928" s="33"/>
      <c r="I928" s="33"/>
      <c r="J928" s="33"/>
      <c r="K928" s="33"/>
      <c r="L928" s="33"/>
      <c r="M928" s="54">
        <f t="shared" si="345"/>
        <v>28</v>
      </c>
      <c r="N928" s="54"/>
      <c r="O928" s="54">
        <v>28</v>
      </c>
      <c r="P928" s="54"/>
      <c r="Q928" s="68">
        <f t="shared" si="346"/>
        <v>0</v>
      </c>
      <c r="R928" s="68"/>
      <c r="S928" s="68"/>
      <c r="T928" s="68"/>
      <c r="U928" s="129"/>
      <c r="V928" s="54">
        <f t="shared" si="347"/>
        <v>28</v>
      </c>
      <c r="W928" s="92" t="s">
        <v>472</v>
      </c>
    </row>
    <row r="929" s="4" customFormat="1" ht="26.25" customHeight="1" spans="1:23">
      <c r="A929" s="117">
        <v>699010</v>
      </c>
      <c r="B929" s="29" t="s">
        <v>3734</v>
      </c>
      <c r="C929" s="118" t="s">
        <v>3739</v>
      </c>
      <c r="D929" s="135" t="s">
        <v>3740</v>
      </c>
      <c r="E929" s="37" t="s">
        <v>3742</v>
      </c>
      <c r="F929" s="32" t="s">
        <v>3743</v>
      </c>
      <c r="G929" s="33">
        <f t="shared" si="344"/>
        <v>2</v>
      </c>
      <c r="H929" s="33">
        <v>2</v>
      </c>
      <c r="I929" s="33"/>
      <c r="J929" s="33"/>
      <c r="K929" s="33"/>
      <c r="L929" s="33"/>
      <c r="M929" s="54">
        <f t="shared" si="345"/>
        <v>0</v>
      </c>
      <c r="N929" s="54"/>
      <c r="O929" s="54"/>
      <c r="P929" s="54"/>
      <c r="Q929" s="68">
        <f t="shared" si="346"/>
        <v>0</v>
      </c>
      <c r="R929" s="68"/>
      <c r="S929" s="68"/>
      <c r="T929" s="68"/>
      <c r="U929" s="129"/>
      <c r="V929" s="33">
        <f t="shared" si="347"/>
        <v>2</v>
      </c>
      <c r="W929" s="130" t="s">
        <v>2283</v>
      </c>
    </row>
    <row r="930" s="4" customFormat="1" ht="26.25" customHeight="1" spans="1:23">
      <c r="A930" s="117">
        <v>699010</v>
      </c>
      <c r="B930" s="29" t="s">
        <v>3734</v>
      </c>
      <c r="C930" s="118" t="s">
        <v>3739</v>
      </c>
      <c r="D930" s="86" t="s">
        <v>3740</v>
      </c>
      <c r="E930" s="127" t="s">
        <v>3744</v>
      </c>
      <c r="F930" s="38" t="s">
        <v>3745</v>
      </c>
      <c r="G930" s="33">
        <f t="shared" si="344"/>
        <v>0</v>
      </c>
      <c r="H930" s="33"/>
      <c r="I930" s="33"/>
      <c r="J930" s="33"/>
      <c r="K930" s="33"/>
      <c r="L930" s="33"/>
      <c r="M930" s="54">
        <f t="shared" si="345"/>
        <v>0</v>
      </c>
      <c r="N930" s="54"/>
      <c r="O930" s="54"/>
      <c r="P930" s="54"/>
      <c r="Q930" s="68">
        <f t="shared" si="346"/>
        <v>19.044406</v>
      </c>
      <c r="R930" s="68"/>
      <c r="S930" s="68">
        <v>19.044406</v>
      </c>
      <c r="T930" s="68"/>
      <c r="U930" s="129"/>
      <c r="V930" s="68">
        <f t="shared" si="347"/>
        <v>19.044406</v>
      </c>
      <c r="W930" s="91" t="s">
        <v>3746</v>
      </c>
    </row>
    <row r="931" s="4" customFormat="1" ht="26.25" customHeight="1" spans="1:23">
      <c r="A931" s="117">
        <v>699010</v>
      </c>
      <c r="B931" s="29" t="s">
        <v>3734</v>
      </c>
      <c r="C931" s="118" t="s">
        <v>3739</v>
      </c>
      <c r="D931" s="86" t="s">
        <v>3740</v>
      </c>
      <c r="E931" s="136" t="s">
        <v>3741</v>
      </c>
      <c r="F931" s="88" t="s">
        <v>3740</v>
      </c>
      <c r="G931" s="33">
        <f t="shared" si="344"/>
        <v>0</v>
      </c>
      <c r="H931" s="33"/>
      <c r="I931" s="33"/>
      <c r="J931" s="33"/>
      <c r="K931" s="33"/>
      <c r="L931" s="33"/>
      <c r="M931" s="54">
        <f t="shared" si="345"/>
        <v>0</v>
      </c>
      <c r="N931" s="54"/>
      <c r="O931" s="54"/>
      <c r="P931" s="54"/>
      <c r="Q931" s="68">
        <f t="shared" si="346"/>
        <v>6</v>
      </c>
      <c r="R931" s="68"/>
      <c r="S931" s="68">
        <v>6</v>
      </c>
      <c r="T931" s="68"/>
      <c r="U931" s="129"/>
      <c r="V931" s="68">
        <f t="shared" si="347"/>
        <v>6</v>
      </c>
      <c r="W931" s="91" t="s">
        <v>3747</v>
      </c>
    </row>
    <row r="932" s="4" customFormat="1" ht="26.25" customHeight="1" spans="1:23">
      <c r="A932" s="117">
        <v>699010</v>
      </c>
      <c r="B932" s="29" t="s">
        <v>3734</v>
      </c>
      <c r="C932" s="124">
        <v>2179999</v>
      </c>
      <c r="D932" s="151" t="s">
        <v>3748</v>
      </c>
      <c r="E932" s="121" t="s">
        <v>3749</v>
      </c>
      <c r="F932" s="35" t="s">
        <v>1101</v>
      </c>
      <c r="G932" s="33">
        <f t="shared" si="344"/>
        <v>0</v>
      </c>
      <c r="H932" s="33"/>
      <c r="I932" s="33"/>
      <c r="J932" s="33"/>
      <c r="K932" s="33"/>
      <c r="L932" s="128">
        <v>71.062105</v>
      </c>
      <c r="M932" s="54">
        <f t="shared" si="345"/>
        <v>0</v>
      </c>
      <c r="N932" s="54"/>
      <c r="O932" s="54"/>
      <c r="P932" s="54"/>
      <c r="Q932" s="68">
        <f t="shared" si="346"/>
        <v>0</v>
      </c>
      <c r="R932" s="68"/>
      <c r="S932" s="68"/>
      <c r="T932" s="68"/>
      <c r="U932" s="129"/>
      <c r="V932" s="54">
        <f t="shared" si="347"/>
        <v>71.062105</v>
      </c>
      <c r="W932" s="92" t="s">
        <v>3750</v>
      </c>
    </row>
    <row r="933" s="99" customFormat="1" ht="26.25" customHeight="1" spans="1:24">
      <c r="A933" s="117">
        <v>699010</v>
      </c>
      <c r="B933" s="29" t="s">
        <v>3734</v>
      </c>
      <c r="C933" s="35">
        <v>2130803</v>
      </c>
      <c r="D933" s="38"/>
      <c r="E933" s="127"/>
      <c r="F933" s="38" t="s">
        <v>3743</v>
      </c>
      <c r="G933" s="33">
        <f t="shared" si="344"/>
        <v>0</v>
      </c>
      <c r="H933" s="33"/>
      <c r="I933" s="33"/>
      <c r="J933" s="33"/>
      <c r="K933" s="33"/>
      <c r="L933" s="33"/>
      <c r="M933" s="54">
        <f t="shared" si="345"/>
        <v>0</v>
      </c>
      <c r="N933" s="54"/>
      <c r="O933" s="54"/>
      <c r="P933" s="54"/>
      <c r="Q933" s="68">
        <f t="shared" si="346"/>
        <v>2</v>
      </c>
      <c r="R933" s="68"/>
      <c r="S933" s="68">
        <v>2</v>
      </c>
      <c r="T933" s="68"/>
      <c r="U933" s="129"/>
      <c r="V933" s="68">
        <f t="shared" si="347"/>
        <v>2</v>
      </c>
      <c r="W933" s="91" t="s">
        <v>3751</v>
      </c>
      <c r="X933" s="4"/>
    </row>
  </sheetData>
  <sheetProtection formatCells="0" formatColumns="0" formatRows="0" insertRows="0" insertColumns="0" insertHyperlinks="0" deleteColumns="0" deleteRows="0" sort="0" autoFilter="0" pivotTables="0"/>
  <autoFilter ref="A1:X933">
    <extLst/>
  </autoFilter>
  <sortState ref="A103:AE110">
    <sortCondition ref="C103:C110"/>
    <sortCondition ref="E103:E110"/>
  </sortState>
  <mergeCells count="15">
    <mergeCell ref="A1:W1"/>
    <mergeCell ref="G3:J3"/>
    <mergeCell ref="M3:P3"/>
    <mergeCell ref="Q3:T3"/>
    <mergeCell ref="A3:A4"/>
    <mergeCell ref="B3:B4"/>
    <mergeCell ref="C3:C4"/>
    <mergeCell ref="D3:D4"/>
    <mergeCell ref="E3:E4"/>
    <mergeCell ref="F3:F4"/>
    <mergeCell ref="K3:K4"/>
    <mergeCell ref="L3:L4"/>
    <mergeCell ref="U3:U4"/>
    <mergeCell ref="V3:V4"/>
    <mergeCell ref="W3:W4"/>
  </mergeCells>
  <conditionalFormatting sqref="W572">
    <cfRule type="duplicateValues" dxfId="0" priority="1"/>
  </conditionalFormatting>
  <conditionalFormatting sqref="W624">
    <cfRule type="duplicateValues" dxfId="0" priority="2"/>
  </conditionalFormatting>
  <conditionalFormatting sqref="W729">
    <cfRule type="duplicateValues" dxfId="0" priority="4"/>
  </conditionalFormatting>
  <conditionalFormatting sqref="W730">
    <cfRule type="duplicateValues" dxfId="0" priority="3"/>
  </conditionalFormatting>
  <conditionalFormatting sqref="W896">
    <cfRule type="duplicateValues" dxfId="0" priority="6"/>
  </conditionalFormatting>
  <conditionalFormatting sqref="W897">
    <cfRule type="duplicateValues" dxfId="0" priority="7"/>
  </conditionalFormatting>
  <conditionalFormatting sqref="W898">
    <cfRule type="duplicateValues" dxfId="0" priority="8"/>
  </conditionalFormatting>
  <conditionalFormatting sqref="W909">
    <cfRule type="duplicateValues" dxfId="0" priority="9"/>
  </conditionalFormatting>
  <conditionalFormatting sqref="W910">
    <cfRule type="duplicateValues" dxfId="0" priority="10"/>
  </conditionalFormatting>
  <conditionalFormatting sqref="W930">
    <cfRule type="duplicateValues" dxfId="0" priority="11"/>
  </conditionalFormatting>
  <printOptions horizontalCentered="1"/>
  <pageMargins left="0.196527777777778" right="0.196527777777778" top="0.590277777777778" bottom="0.393055555555556" header="0.393055555555556" footer="0.196527777777778"/>
  <pageSetup paperSize="9" scale="61" fitToHeight="0" orientation="landscape" horizontalDpi="300" verticalDpi="300"/>
  <headerFooter alignWithMargins="0" scaleWithDoc="0"/>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305"/>
  <sheetViews>
    <sheetView showZeros="0" zoomScale="80" zoomScaleNormal="80" workbookViewId="0">
      <pane xSplit="7" ySplit="6" topLeftCell="L85" activePane="bottomRight" state="frozen"/>
      <selection/>
      <selection pane="topRight"/>
      <selection pane="bottomLeft"/>
      <selection pane="bottomRight" activeCell="W6" sqref="W6"/>
    </sheetView>
  </sheetViews>
  <sheetFormatPr defaultColWidth="8" defaultRowHeight="15"/>
  <cols>
    <col min="1" max="1" width="8.125" style="7" customWidth="1"/>
    <col min="2" max="2" width="15.625" style="8" customWidth="1"/>
    <col min="3" max="3" width="8.125" style="7" customWidth="1"/>
    <col min="4" max="4" width="10.625" style="8" customWidth="1"/>
    <col min="5" max="6" width="12.625" style="8" customWidth="1"/>
    <col min="7" max="10" width="11.125" style="7" customWidth="1"/>
    <col min="11" max="20" width="10.125" style="7" customWidth="1"/>
    <col min="21" max="21" width="11.125" style="7" customWidth="1"/>
    <col min="22" max="22" width="12.625" style="9" customWidth="1"/>
    <col min="23" max="23" width="16.625" style="10" customWidth="1"/>
    <col min="24" max="16384" width="8" style="6"/>
  </cols>
  <sheetData>
    <row r="1" s="1" customFormat="1" ht="26.25" customHeight="1" spans="1:23">
      <c r="A1" s="11" t="s">
        <v>3752</v>
      </c>
      <c r="B1" s="11"/>
      <c r="C1" s="11"/>
      <c r="D1" s="11"/>
      <c r="E1" s="11"/>
      <c r="F1" s="11"/>
      <c r="G1" s="11"/>
      <c r="H1" s="11"/>
      <c r="I1" s="11"/>
      <c r="J1" s="11"/>
      <c r="K1" s="11"/>
      <c r="L1" s="11"/>
      <c r="M1" s="11"/>
      <c r="N1" s="11"/>
      <c r="O1" s="11"/>
      <c r="P1" s="11"/>
      <c r="Q1" s="11"/>
      <c r="R1" s="11"/>
      <c r="S1" s="11"/>
      <c r="T1" s="11"/>
      <c r="U1" s="11"/>
      <c r="V1" s="11"/>
      <c r="W1" s="56"/>
    </row>
    <row r="2" s="1" customFormat="1" customHeight="1" spans="1:23">
      <c r="A2" s="12"/>
      <c r="B2" s="8"/>
      <c r="C2" s="7"/>
      <c r="D2" s="8"/>
      <c r="E2" s="8"/>
      <c r="F2" s="8"/>
      <c r="G2" s="7"/>
      <c r="H2" s="7"/>
      <c r="I2" s="7"/>
      <c r="J2" s="7"/>
      <c r="K2" s="7"/>
      <c r="L2" s="7"/>
      <c r="M2" s="7"/>
      <c r="N2" s="7"/>
      <c r="O2" s="7"/>
      <c r="P2" s="7"/>
      <c r="Q2" s="7"/>
      <c r="R2" s="7"/>
      <c r="S2" s="7">
        <f>S6-290.24</f>
        <v>-288.24</v>
      </c>
      <c r="T2" s="7"/>
      <c r="U2" s="7"/>
      <c r="V2" s="57"/>
      <c r="W2" s="56"/>
    </row>
    <row r="3" s="2" customFormat="1" ht="26.25" customHeight="1" spans="1:23">
      <c r="A3" s="13" t="s">
        <v>1426</v>
      </c>
      <c r="B3" s="13" t="s">
        <v>861</v>
      </c>
      <c r="C3" s="14" t="s">
        <v>1427</v>
      </c>
      <c r="D3" s="14" t="s">
        <v>1428</v>
      </c>
      <c r="E3" s="13" t="s">
        <v>3753</v>
      </c>
      <c r="F3" s="13" t="s">
        <v>2272</v>
      </c>
      <c r="G3" s="15" t="s">
        <v>1273</v>
      </c>
      <c r="H3" s="15"/>
      <c r="I3" s="15"/>
      <c r="J3" s="15"/>
      <c r="K3" s="15" t="s">
        <v>854</v>
      </c>
      <c r="L3" s="15" t="s">
        <v>855</v>
      </c>
      <c r="M3" s="15" t="s">
        <v>856</v>
      </c>
      <c r="N3" s="15"/>
      <c r="O3" s="15"/>
      <c r="P3" s="15"/>
      <c r="Q3" s="58" t="s">
        <v>857</v>
      </c>
      <c r="R3" s="59"/>
      <c r="S3" s="60"/>
      <c r="T3" s="15" t="s">
        <v>858</v>
      </c>
      <c r="U3" s="15" t="s">
        <v>8</v>
      </c>
      <c r="V3" s="61" t="s">
        <v>1431</v>
      </c>
      <c r="W3" s="62"/>
    </row>
    <row r="4" s="3" customFormat="1" ht="60" customHeight="1" spans="1:23">
      <c r="A4" s="16"/>
      <c r="B4" s="16"/>
      <c r="C4" s="17"/>
      <c r="D4" s="17"/>
      <c r="E4" s="16"/>
      <c r="F4" s="16"/>
      <c r="G4" s="15" t="s">
        <v>390</v>
      </c>
      <c r="H4" s="15" t="s">
        <v>3754</v>
      </c>
      <c r="I4" s="15" t="s">
        <v>1433</v>
      </c>
      <c r="J4" s="15" t="s">
        <v>1430</v>
      </c>
      <c r="K4" s="15"/>
      <c r="L4" s="15"/>
      <c r="M4" s="15" t="s">
        <v>8</v>
      </c>
      <c r="N4" s="15" t="s">
        <v>3755</v>
      </c>
      <c r="O4" s="15" t="s">
        <v>2275</v>
      </c>
      <c r="P4" s="15" t="s">
        <v>2276</v>
      </c>
      <c r="Q4" s="15" t="s">
        <v>390</v>
      </c>
      <c r="R4" s="15" t="s">
        <v>1430</v>
      </c>
      <c r="S4" s="15" t="s">
        <v>2276</v>
      </c>
      <c r="T4" s="15"/>
      <c r="U4" s="15"/>
      <c r="V4" s="61"/>
      <c r="W4" s="62"/>
    </row>
    <row r="5" s="4" customFormat="1" ht="26.25" customHeight="1" spans="1:23">
      <c r="A5" s="18"/>
      <c r="B5" s="18"/>
      <c r="C5" s="19"/>
      <c r="D5" s="19"/>
      <c r="E5" s="18"/>
      <c r="F5" s="18"/>
      <c r="G5" s="18"/>
      <c r="H5" s="18"/>
      <c r="I5" s="18"/>
      <c r="J5" s="18"/>
      <c r="K5" s="18"/>
      <c r="L5" s="18"/>
      <c r="M5" s="53"/>
      <c r="N5" s="53"/>
      <c r="O5" s="53"/>
      <c r="P5" s="53"/>
      <c r="Q5" s="63"/>
      <c r="R5" s="63"/>
      <c r="S5" s="63"/>
      <c r="T5" s="18"/>
      <c r="U5" s="18"/>
      <c r="V5" s="64"/>
      <c r="W5" s="65"/>
    </row>
    <row r="6" s="1" customFormat="1" ht="26.25" customHeight="1" spans="1:23">
      <c r="A6" s="20"/>
      <c r="B6" s="20"/>
      <c r="C6" s="21"/>
      <c r="D6" s="21" t="s">
        <v>8</v>
      </c>
      <c r="E6" s="20"/>
      <c r="F6" s="20">
        <f>H6+I6+J6-15087.01</f>
        <v>0</v>
      </c>
      <c r="G6" s="22">
        <f t="shared" ref="G6:U6" si="0">G7+G13+G20+G44+G51+G58+G64+G70+G76+G96+G101+G107+G112+G119+G86+G49+G104</f>
        <v>15087.01</v>
      </c>
      <c r="H6" s="22">
        <f t="shared" si="0"/>
        <v>11275.53</v>
      </c>
      <c r="I6" s="22">
        <f t="shared" si="0"/>
        <v>3542.12</v>
      </c>
      <c r="J6" s="22">
        <f t="shared" si="0"/>
        <v>269.36</v>
      </c>
      <c r="K6" s="22">
        <f t="shared" si="0"/>
        <v>9.74</v>
      </c>
      <c r="L6" s="22">
        <f t="shared" si="0"/>
        <v>32.84</v>
      </c>
      <c r="M6" s="22">
        <f t="shared" si="0"/>
        <v>1710.64</v>
      </c>
      <c r="N6" s="22">
        <f t="shared" si="0"/>
        <v>-269.36</v>
      </c>
      <c r="O6" s="22">
        <f t="shared" si="0"/>
        <v>2480</v>
      </c>
      <c r="P6" s="22">
        <f t="shared" si="0"/>
        <v>500</v>
      </c>
      <c r="Q6" s="22">
        <f t="shared" si="0"/>
        <v>306.44</v>
      </c>
      <c r="R6" s="22">
        <f t="shared" si="0"/>
        <v>308.44</v>
      </c>
      <c r="S6" s="22">
        <f t="shared" si="0"/>
        <v>2</v>
      </c>
      <c r="T6" s="22">
        <f t="shared" si="0"/>
        <v>5910.09</v>
      </c>
      <c r="U6" s="22">
        <f t="shared" si="0"/>
        <v>11236.58</v>
      </c>
      <c r="V6" s="66"/>
      <c r="W6" s="56"/>
    </row>
    <row r="7" s="1" customFormat="1" ht="26.25" customHeight="1" spans="1:23">
      <c r="A7" s="16" t="s">
        <v>3756</v>
      </c>
      <c r="B7" s="23" t="s">
        <v>1413</v>
      </c>
      <c r="C7" s="24"/>
      <c r="D7" s="24"/>
      <c r="E7" s="25"/>
      <c r="F7" s="26"/>
      <c r="G7" s="27">
        <f t="shared" ref="G7:Z7" si="1">SUM(G8:G12)</f>
        <v>46.9</v>
      </c>
      <c r="H7" s="27">
        <f t="shared" si="1"/>
        <v>46.9</v>
      </c>
      <c r="I7" s="27">
        <f t="shared" si="1"/>
        <v>0</v>
      </c>
      <c r="J7" s="27">
        <f t="shared" si="1"/>
        <v>0</v>
      </c>
      <c r="K7" s="27">
        <f t="shared" si="1"/>
        <v>4.82</v>
      </c>
      <c r="L7" s="27">
        <f t="shared" si="1"/>
        <v>13.67</v>
      </c>
      <c r="M7" s="27">
        <f t="shared" si="1"/>
        <v>0</v>
      </c>
      <c r="N7" s="27">
        <f t="shared" si="1"/>
        <v>0</v>
      </c>
      <c r="O7" s="27">
        <f t="shared" si="1"/>
        <v>0</v>
      </c>
      <c r="P7" s="27">
        <f t="shared" si="1"/>
        <v>0</v>
      </c>
      <c r="Q7" s="27">
        <f t="shared" si="1"/>
        <v>0</v>
      </c>
      <c r="R7" s="27">
        <f t="shared" si="1"/>
        <v>0</v>
      </c>
      <c r="S7" s="27">
        <f t="shared" si="1"/>
        <v>0</v>
      </c>
      <c r="T7" s="27">
        <f t="shared" si="1"/>
        <v>0</v>
      </c>
      <c r="U7" s="27">
        <f t="shared" si="1"/>
        <v>65.39</v>
      </c>
      <c r="V7" s="67">
        <f t="shared" si="1"/>
        <v>0</v>
      </c>
      <c r="W7" s="56"/>
    </row>
    <row r="8" s="1" customFormat="1" ht="26.25" customHeight="1" spans="1:23">
      <c r="A8" s="28" t="s">
        <v>3757</v>
      </c>
      <c r="B8" s="29" t="s">
        <v>2170</v>
      </c>
      <c r="C8" s="30" t="s">
        <v>3758</v>
      </c>
      <c r="D8" s="31" t="s">
        <v>2083</v>
      </c>
      <c r="E8" s="30" t="s">
        <v>3759</v>
      </c>
      <c r="F8" s="32" t="s">
        <v>933</v>
      </c>
      <c r="G8" s="33">
        <f t="shared" ref="G8:G12" si="2">SUM(H8:J8)</f>
        <v>2</v>
      </c>
      <c r="H8" s="33">
        <v>2</v>
      </c>
      <c r="I8" s="33"/>
      <c r="J8" s="33"/>
      <c r="K8" s="33"/>
      <c r="L8" s="33"/>
      <c r="M8" s="54">
        <f t="shared" ref="M8:M12" si="3">N8+O8-P8</f>
        <v>0</v>
      </c>
      <c r="N8" s="54"/>
      <c r="O8" s="54"/>
      <c r="P8" s="54"/>
      <c r="Q8" s="68">
        <f t="shared" ref="Q8:Q12" si="4">R8-S8</f>
        <v>0</v>
      </c>
      <c r="R8" s="68"/>
      <c r="S8" s="68"/>
      <c r="T8" s="33"/>
      <c r="U8" s="33">
        <f t="shared" ref="U8:U12" si="5">G8+K8+L8+M8+Q8-T8</f>
        <v>2</v>
      </c>
      <c r="V8" s="69" t="s">
        <v>3760</v>
      </c>
      <c r="W8" s="56"/>
    </row>
    <row r="9" s="1" customFormat="1" ht="26.25" customHeight="1" spans="1:23">
      <c r="A9" s="28" t="s">
        <v>3757</v>
      </c>
      <c r="B9" s="29" t="s">
        <v>2170</v>
      </c>
      <c r="C9" s="30" t="s">
        <v>3758</v>
      </c>
      <c r="D9" s="31" t="s">
        <v>2083</v>
      </c>
      <c r="E9" s="30" t="s">
        <v>3761</v>
      </c>
      <c r="F9" s="32" t="s">
        <v>3762</v>
      </c>
      <c r="G9" s="33">
        <f t="shared" si="2"/>
        <v>15</v>
      </c>
      <c r="H9" s="33">
        <v>15</v>
      </c>
      <c r="I9" s="33"/>
      <c r="J9" s="33"/>
      <c r="K9" s="33"/>
      <c r="L9" s="33"/>
      <c r="M9" s="54">
        <f t="shared" si="3"/>
        <v>0</v>
      </c>
      <c r="N9" s="54"/>
      <c r="O9" s="54"/>
      <c r="P9" s="54"/>
      <c r="Q9" s="68">
        <f t="shared" si="4"/>
        <v>0</v>
      </c>
      <c r="R9" s="68"/>
      <c r="S9" s="68"/>
      <c r="T9" s="33"/>
      <c r="U9" s="33">
        <f t="shared" si="5"/>
        <v>15</v>
      </c>
      <c r="V9" s="69" t="s">
        <v>3760</v>
      </c>
      <c r="W9" s="56"/>
    </row>
    <row r="10" s="1" customFormat="1" ht="26.25" customHeight="1" spans="1:23">
      <c r="A10" s="28" t="s">
        <v>3757</v>
      </c>
      <c r="B10" s="29" t="s">
        <v>2170</v>
      </c>
      <c r="C10" s="30" t="s">
        <v>3758</v>
      </c>
      <c r="D10" s="31" t="s">
        <v>2083</v>
      </c>
      <c r="E10" s="34" t="s">
        <v>3763</v>
      </c>
      <c r="F10" s="35" t="s">
        <v>2317</v>
      </c>
      <c r="G10" s="33">
        <f t="shared" si="2"/>
        <v>0</v>
      </c>
      <c r="H10" s="33"/>
      <c r="I10" s="33"/>
      <c r="J10" s="33"/>
      <c r="K10" s="55">
        <v>4.82</v>
      </c>
      <c r="L10" s="33"/>
      <c r="M10" s="54">
        <f t="shared" si="3"/>
        <v>0</v>
      </c>
      <c r="N10" s="54"/>
      <c r="O10" s="54"/>
      <c r="P10" s="54"/>
      <c r="Q10" s="68">
        <f t="shared" si="4"/>
        <v>0</v>
      </c>
      <c r="R10" s="68"/>
      <c r="S10" s="68"/>
      <c r="T10" s="33"/>
      <c r="U10" s="33">
        <f t="shared" si="5"/>
        <v>4.82</v>
      </c>
      <c r="V10" s="69" t="s">
        <v>3760</v>
      </c>
      <c r="W10" s="56"/>
    </row>
    <row r="11" s="1" customFormat="1" ht="26.25" customHeight="1" spans="1:23">
      <c r="A11" s="28" t="s">
        <v>3757</v>
      </c>
      <c r="B11" s="29" t="s">
        <v>2170</v>
      </c>
      <c r="C11" s="30" t="s">
        <v>3764</v>
      </c>
      <c r="D11" s="31" t="s">
        <v>3765</v>
      </c>
      <c r="E11" s="30" t="s">
        <v>3766</v>
      </c>
      <c r="F11" s="32" t="s">
        <v>3765</v>
      </c>
      <c r="G11" s="33">
        <f t="shared" si="2"/>
        <v>16</v>
      </c>
      <c r="H11" s="33">
        <v>16</v>
      </c>
      <c r="I11" s="33"/>
      <c r="J11" s="33"/>
      <c r="K11" s="33"/>
      <c r="L11" s="33">
        <v>7.84</v>
      </c>
      <c r="M11" s="54">
        <f t="shared" si="3"/>
        <v>0</v>
      </c>
      <c r="N11" s="54"/>
      <c r="O11" s="54"/>
      <c r="P11" s="54"/>
      <c r="Q11" s="68">
        <f t="shared" si="4"/>
        <v>0</v>
      </c>
      <c r="R11" s="68"/>
      <c r="S11" s="68"/>
      <c r="T11" s="33"/>
      <c r="U11" s="33">
        <f t="shared" si="5"/>
        <v>23.84</v>
      </c>
      <c r="V11" s="69" t="s">
        <v>3760</v>
      </c>
      <c r="W11" s="56"/>
    </row>
    <row r="12" s="1" customFormat="1" ht="26.25" customHeight="1" spans="1:23">
      <c r="A12" s="28" t="s">
        <v>3757</v>
      </c>
      <c r="B12" s="29" t="s">
        <v>2170</v>
      </c>
      <c r="C12" s="30" t="s">
        <v>3382</v>
      </c>
      <c r="D12" s="31" t="s">
        <v>3383</v>
      </c>
      <c r="E12" s="30" t="s">
        <v>3767</v>
      </c>
      <c r="F12" s="32" t="s">
        <v>3768</v>
      </c>
      <c r="G12" s="33">
        <f t="shared" si="2"/>
        <v>13.9</v>
      </c>
      <c r="H12" s="33">
        <v>13.9</v>
      </c>
      <c r="I12" s="33"/>
      <c r="J12" s="33"/>
      <c r="K12" s="33"/>
      <c r="L12" s="33">
        <v>5.83</v>
      </c>
      <c r="M12" s="54">
        <f t="shared" si="3"/>
        <v>0</v>
      </c>
      <c r="N12" s="54"/>
      <c r="O12" s="54"/>
      <c r="P12" s="54"/>
      <c r="Q12" s="68">
        <f t="shared" si="4"/>
        <v>0</v>
      </c>
      <c r="R12" s="68"/>
      <c r="S12" s="68"/>
      <c r="T12" s="33"/>
      <c r="U12" s="33">
        <f t="shared" si="5"/>
        <v>19.73</v>
      </c>
      <c r="V12" s="69" t="s">
        <v>3760</v>
      </c>
      <c r="W12" s="56"/>
    </row>
    <row r="13" s="1" customFormat="1" ht="26.25" customHeight="1" spans="1:23">
      <c r="A13" s="16" t="s">
        <v>3769</v>
      </c>
      <c r="B13" s="23" t="s">
        <v>1414</v>
      </c>
      <c r="C13" s="24"/>
      <c r="D13" s="24"/>
      <c r="E13" s="25"/>
      <c r="F13" s="26"/>
      <c r="G13" s="27">
        <f t="shared" ref="G13:Z13" si="6">SUM(G14:G19)</f>
        <v>43.9</v>
      </c>
      <c r="H13" s="27">
        <f t="shared" si="6"/>
        <v>43.9</v>
      </c>
      <c r="I13" s="27">
        <f t="shared" si="6"/>
        <v>0</v>
      </c>
      <c r="J13" s="27">
        <f t="shared" si="6"/>
        <v>0</v>
      </c>
      <c r="K13" s="27">
        <f t="shared" si="6"/>
        <v>3.9</v>
      </c>
      <c r="L13" s="27">
        <f t="shared" si="6"/>
        <v>14.86</v>
      </c>
      <c r="M13" s="27">
        <f t="shared" si="6"/>
        <v>0</v>
      </c>
      <c r="N13" s="27">
        <f t="shared" si="6"/>
        <v>0</v>
      </c>
      <c r="O13" s="27">
        <f t="shared" si="6"/>
        <v>0</v>
      </c>
      <c r="P13" s="27">
        <f t="shared" si="6"/>
        <v>0</v>
      </c>
      <c r="Q13" s="27">
        <f t="shared" si="6"/>
        <v>0</v>
      </c>
      <c r="R13" s="27">
        <f t="shared" si="6"/>
        <v>0</v>
      </c>
      <c r="S13" s="27">
        <f t="shared" si="6"/>
        <v>0</v>
      </c>
      <c r="T13" s="27">
        <f t="shared" si="6"/>
        <v>0</v>
      </c>
      <c r="U13" s="27">
        <f t="shared" si="6"/>
        <v>62.66</v>
      </c>
      <c r="V13" s="67">
        <f t="shared" si="6"/>
        <v>0</v>
      </c>
      <c r="W13" s="56"/>
    </row>
    <row r="14" s="1" customFormat="1" ht="26.25" customHeight="1" spans="1:23">
      <c r="A14" s="28" t="s">
        <v>3770</v>
      </c>
      <c r="B14" s="29" t="s">
        <v>2184</v>
      </c>
      <c r="C14" s="30" t="s">
        <v>3771</v>
      </c>
      <c r="D14" s="36" t="s">
        <v>2083</v>
      </c>
      <c r="E14" s="37" t="s">
        <v>3772</v>
      </c>
      <c r="F14" s="32" t="s">
        <v>2696</v>
      </c>
      <c r="G14" s="33">
        <f t="shared" ref="G14:G19" si="7">SUM(H14:J14)</f>
        <v>5</v>
      </c>
      <c r="H14" s="33">
        <v>5</v>
      </c>
      <c r="I14" s="33"/>
      <c r="J14" s="33"/>
      <c r="K14" s="33"/>
      <c r="L14" s="33"/>
      <c r="M14" s="54">
        <f t="shared" ref="M14:M19" si="8">N14+O14-P14</f>
        <v>0</v>
      </c>
      <c r="N14" s="54"/>
      <c r="O14" s="54"/>
      <c r="P14" s="54"/>
      <c r="Q14" s="68">
        <f t="shared" ref="Q14:Q19" si="9">R14-S14</f>
        <v>0</v>
      </c>
      <c r="R14" s="68"/>
      <c r="S14" s="68"/>
      <c r="T14" s="33"/>
      <c r="U14" s="70">
        <f t="shared" ref="U14:U19" si="10">G14+K14+L14+M14+Q14-T14</f>
        <v>5</v>
      </c>
      <c r="V14" s="69" t="s">
        <v>3760</v>
      </c>
      <c r="W14" s="56"/>
    </row>
    <row r="15" s="1" customFormat="1" ht="26.25" customHeight="1" spans="1:23">
      <c r="A15" s="28" t="s">
        <v>3770</v>
      </c>
      <c r="B15" s="29" t="s">
        <v>2184</v>
      </c>
      <c r="C15" s="30" t="s">
        <v>3771</v>
      </c>
      <c r="D15" s="31" t="s">
        <v>2083</v>
      </c>
      <c r="E15" s="30" t="s">
        <v>3773</v>
      </c>
      <c r="F15" s="32" t="s">
        <v>3774</v>
      </c>
      <c r="G15" s="33">
        <f t="shared" si="7"/>
        <v>8</v>
      </c>
      <c r="H15" s="33">
        <v>8</v>
      </c>
      <c r="I15" s="33"/>
      <c r="J15" s="33"/>
      <c r="K15" s="33"/>
      <c r="L15" s="33"/>
      <c r="M15" s="54">
        <f t="shared" si="8"/>
        <v>0</v>
      </c>
      <c r="N15" s="54"/>
      <c r="O15" s="54"/>
      <c r="P15" s="54"/>
      <c r="Q15" s="68">
        <f t="shared" si="9"/>
        <v>0</v>
      </c>
      <c r="R15" s="68"/>
      <c r="S15" s="68"/>
      <c r="T15" s="33"/>
      <c r="U15" s="33">
        <f t="shared" si="10"/>
        <v>8</v>
      </c>
      <c r="V15" s="69" t="s">
        <v>3760</v>
      </c>
      <c r="W15" s="56"/>
    </row>
    <row r="16" s="1" customFormat="1" ht="26.25" customHeight="1" spans="1:23">
      <c r="A16" s="28" t="s">
        <v>3770</v>
      </c>
      <c r="B16" s="29" t="s">
        <v>2184</v>
      </c>
      <c r="C16" s="30" t="s">
        <v>3771</v>
      </c>
      <c r="D16" s="31" t="s">
        <v>2083</v>
      </c>
      <c r="E16" s="34" t="s">
        <v>3775</v>
      </c>
      <c r="F16" s="35" t="s">
        <v>2317</v>
      </c>
      <c r="G16" s="33">
        <f t="shared" si="7"/>
        <v>0</v>
      </c>
      <c r="H16" s="33"/>
      <c r="I16" s="33"/>
      <c r="J16" s="33"/>
      <c r="K16" s="55">
        <v>3.9</v>
      </c>
      <c r="L16" s="33"/>
      <c r="M16" s="54">
        <f t="shared" si="8"/>
        <v>0</v>
      </c>
      <c r="N16" s="54"/>
      <c r="O16" s="54"/>
      <c r="P16" s="54"/>
      <c r="Q16" s="68">
        <f t="shared" si="9"/>
        <v>0</v>
      </c>
      <c r="R16" s="68"/>
      <c r="S16" s="68"/>
      <c r="T16" s="33"/>
      <c r="U16" s="33">
        <f t="shared" si="10"/>
        <v>3.9</v>
      </c>
      <c r="V16" s="69" t="s">
        <v>3760</v>
      </c>
      <c r="W16" s="56"/>
    </row>
    <row r="17" s="1" customFormat="1" ht="26.25" customHeight="1" spans="1:23">
      <c r="A17" s="28" t="s">
        <v>3770</v>
      </c>
      <c r="B17" s="29" t="s">
        <v>2184</v>
      </c>
      <c r="C17" s="30" t="s">
        <v>3771</v>
      </c>
      <c r="D17" s="31"/>
      <c r="E17" s="34"/>
      <c r="F17" s="35" t="s">
        <v>933</v>
      </c>
      <c r="G17" s="33">
        <f t="shared" si="7"/>
        <v>0</v>
      </c>
      <c r="H17" s="33"/>
      <c r="I17" s="33"/>
      <c r="J17" s="33"/>
      <c r="K17" s="33"/>
      <c r="L17" s="33"/>
      <c r="M17" s="54">
        <f t="shared" si="8"/>
        <v>0</v>
      </c>
      <c r="N17" s="54"/>
      <c r="O17" s="54"/>
      <c r="P17" s="54"/>
      <c r="Q17" s="68">
        <f t="shared" si="9"/>
        <v>0</v>
      </c>
      <c r="R17" s="68"/>
      <c r="S17" s="68"/>
      <c r="T17" s="33"/>
      <c r="U17" s="33">
        <f t="shared" si="10"/>
        <v>0</v>
      </c>
      <c r="V17" s="69" t="s">
        <v>3760</v>
      </c>
      <c r="W17" s="56"/>
    </row>
    <row r="18" s="1" customFormat="1" ht="26.25" customHeight="1" spans="1:23">
      <c r="A18" s="28" t="s">
        <v>3770</v>
      </c>
      <c r="B18" s="29" t="s">
        <v>2184</v>
      </c>
      <c r="C18" s="30" t="s">
        <v>3776</v>
      </c>
      <c r="D18" s="31" t="s">
        <v>3777</v>
      </c>
      <c r="E18" s="30" t="s">
        <v>3778</v>
      </c>
      <c r="F18" s="32" t="s">
        <v>3777</v>
      </c>
      <c r="G18" s="33">
        <f t="shared" si="7"/>
        <v>16</v>
      </c>
      <c r="H18" s="33">
        <v>16</v>
      </c>
      <c r="I18" s="33"/>
      <c r="J18" s="33"/>
      <c r="K18" s="33"/>
      <c r="L18" s="33">
        <v>4.81</v>
      </c>
      <c r="M18" s="54">
        <f t="shared" si="8"/>
        <v>0</v>
      </c>
      <c r="N18" s="54"/>
      <c r="O18" s="54"/>
      <c r="P18" s="54"/>
      <c r="Q18" s="68">
        <f t="shared" si="9"/>
        <v>0</v>
      </c>
      <c r="R18" s="68"/>
      <c r="S18" s="68"/>
      <c r="T18" s="33"/>
      <c r="U18" s="33">
        <f t="shared" si="10"/>
        <v>20.81</v>
      </c>
      <c r="V18" s="69" t="s">
        <v>3760</v>
      </c>
      <c r="W18" s="56"/>
    </row>
    <row r="19" s="1" customFormat="1" ht="26.25" customHeight="1" spans="1:23">
      <c r="A19" s="28" t="s">
        <v>3770</v>
      </c>
      <c r="B19" s="29" t="s">
        <v>2184</v>
      </c>
      <c r="C19" s="30" t="s">
        <v>3779</v>
      </c>
      <c r="D19" s="31" t="s">
        <v>3780</v>
      </c>
      <c r="E19" s="30" t="s">
        <v>3781</v>
      </c>
      <c r="F19" s="32" t="s">
        <v>3782</v>
      </c>
      <c r="G19" s="33">
        <f t="shared" si="7"/>
        <v>14.9</v>
      </c>
      <c r="H19" s="33">
        <v>14.9</v>
      </c>
      <c r="I19" s="33"/>
      <c r="J19" s="33"/>
      <c r="K19" s="33"/>
      <c r="L19" s="33">
        <v>10.05</v>
      </c>
      <c r="M19" s="54">
        <f t="shared" si="8"/>
        <v>0</v>
      </c>
      <c r="N19" s="54"/>
      <c r="O19" s="54"/>
      <c r="P19" s="54"/>
      <c r="Q19" s="68">
        <f t="shared" si="9"/>
        <v>0</v>
      </c>
      <c r="R19" s="68"/>
      <c r="S19" s="68"/>
      <c r="T19" s="33"/>
      <c r="U19" s="33">
        <f t="shared" si="10"/>
        <v>24.95</v>
      </c>
      <c r="V19" s="69" t="s">
        <v>3760</v>
      </c>
      <c r="W19" s="56"/>
    </row>
    <row r="20" s="1" customFormat="1" ht="26.25" customHeight="1" spans="1:23">
      <c r="A20" s="16" t="s">
        <v>3783</v>
      </c>
      <c r="B20" s="23" t="s">
        <v>1415</v>
      </c>
      <c r="C20" s="24"/>
      <c r="D20" s="24"/>
      <c r="E20" s="25"/>
      <c r="F20" s="26"/>
      <c r="G20" s="27">
        <f t="shared" ref="G20:Z20" si="11">SUM(G21:G43)</f>
        <v>7914.72</v>
      </c>
      <c r="H20" s="27">
        <f t="shared" si="11"/>
        <v>4528.72</v>
      </c>
      <c r="I20" s="27">
        <f t="shared" si="11"/>
        <v>3386</v>
      </c>
      <c r="J20" s="27">
        <f t="shared" si="11"/>
        <v>0</v>
      </c>
      <c r="K20" s="27">
        <f t="shared" si="11"/>
        <v>0</v>
      </c>
      <c r="L20" s="27">
        <f t="shared" si="11"/>
        <v>0</v>
      </c>
      <c r="M20" s="27">
        <f t="shared" si="11"/>
        <v>210</v>
      </c>
      <c r="N20" s="27">
        <f t="shared" si="11"/>
        <v>0</v>
      </c>
      <c r="O20" s="27">
        <f t="shared" si="11"/>
        <v>210</v>
      </c>
      <c r="P20" s="27">
        <f t="shared" si="11"/>
        <v>0</v>
      </c>
      <c r="Q20" s="27">
        <f t="shared" si="11"/>
        <v>5</v>
      </c>
      <c r="R20" s="27">
        <f t="shared" si="11"/>
        <v>5</v>
      </c>
      <c r="S20" s="27">
        <f t="shared" si="11"/>
        <v>0</v>
      </c>
      <c r="T20" s="27">
        <f t="shared" si="11"/>
        <v>3492.71</v>
      </c>
      <c r="U20" s="27">
        <f t="shared" si="11"/>
        <v>4637.01</v>
      </c>
      <c r="V20" s="67">
        <f t="shared" si="11"/>
        <v>0</v>
      </c>
      <c r="W20" s="56"/>
    </row>
    <row r="21" s="1" customFormat="1" ht="26.25" customHeight="1" spans="1:23">
      <c r="A21" s="28" t="s">
        <v>3784</v>
      </c>
      <c r="B21" s="29" t="s">
        <v>2197</v>
      </c>
      <c r="C21" s="30" t="s">
        <v>3382</v>
      </c>
      <c r="D21" s="31" t="s">
        <v>3383</v>
      </c>
      <c r="E21" s="30" t="s">
        <v>3785</v>
      </c>
      <c r="F21" s="32" t="s">
        <v>3385</v>
      </c>
      <c r="G21" s="33">
        <f t="shared" ref="G21:G43" si="12">SUM(H21:J21)</f>
        <v>5</v>
      </c>
      <c r="H21" s="33">
        <v>5</v>
      </c>
      <c r="I21" s="33"/>
      <c r="J21" s="33"/>
      <c r="K21" s="33"/>
      <c r="L21" s="33"/>
      <c r="M21" s="54">
        <f t="shared" ref="M21:M43" si="13">N21+O21-P21</f>
        <v>0</v>
      </c>
      <c r="N21" s="54"/>
      <c r="O21" s="54"/>
      <c r="P21" s="54"/>
      <c r="Q21" s="68">
        <f t="shared" ref="Q21:Q43" si="14">R21-S21</f>
        <v>0</v>
      </c>
      <c r="R21" s="68"/>
      <c r="S21" s="68"/>
      <c r="T21" s="33">
        <v>1</v>
      </c>
      <c r="U21" s="33">
        <f t="shared" ref="U21:U43" si="15">G21+K21+L21+M21+Q21-T21</f>
        <v>4</v>
      </c>
      <c r="V21" s="69" t="s">
        <v>3760</v>
      </c>
      <c r="W21" s="56"/>
    </row>
    <row r="22" s="1" customFormat="1" ht="26.25" customHeight="1" spans="1:23">
      <c r="A22" s="28" t="s">
        <v>3784</v>
      </c>
      <c r="B22" s="29" t="s">
        <v>2197</v>
      </c>
      <c r="C22" s="30" t="s">
        <v>2280</v>
      </c>
      <c r="D22" s="31" t="s">
        <v>2083</v>
      </c>
      <c r="E22" s="30" t="s">
        <v>3786</v>
      </c>
      <c r="F22" s="32" t="s">
        <v>3787</v>
      </c>
      <c r="G22" s="33">
        <f t="shared" si="12"/>
        <v>55</v>
      </c>
      <c r="H22" s="33">
        <v>55</v>
      </c>
      <c r="I22" s="33"/>
      <c r="J22" s="33"/>
      <c r="K22" s="33"/>
      <c r="L22" s="33"/>
      <c r="M22" s="54">
        <f t="shared" si="13"/>
        <v>0</v>
      </c>
      <c r="N22" s="54"/>
      <c r="O22" s="54"/>
      <c r="P22" s="54"/>
      <c r="Q22" s="68">
        <f t="shared" si="14"/>
        <v>0</v>
      </c>
      <c r="R22" s="68"/>
      <c r="S22" s="68"/>
      <c r="T22" s="33">
        <v>5</v>
      </c>
      <c r="U22" s="33">
        <f t="shared" si="15"/>
        <v>50</v>
      </c>
      <c r="V22" s="69" t="s">
        <v>3760</v>
      </c>
      <c r="W22" s="56"/>
    </row>
    <row r="23" s="1" customFormat="1" ht="26.25" customHeight="1" spans="1:23">
      <c r="A23" s="28" t="s">
        <v>3784</v>
      </c>
      <c r="B23" s="29" t="s">
        <v>2197</v>
      </c>
      <c r="C23" s="30" t="s">
        <v>2280</v>
      </c>
      <c r="D23" s="31" t="s">
        <v>2083</v>
      </c>
      <c r="E23" s="30" t="s">
        <v>3788</v>
      </c>
      <c r="F23" s="32" t="s">
        <v>2291</v>
      </c>
      <c r="G23" s="33">
        <f t="shared" si="12"/>
        <v>55</v>
      </c>
      <c r="H23" s="33">
        <v>55</v>
      </c>
      <c r="I23" s="33"/>
      <c r="J23" s="33"/>
      <c r="K23" s="33"/>
      <c r="L23" s="33"/>
      <c r="M23" s="54">
        <f t="shared" si="13"/>
        <v>0</v>
      </c>
      <c r="N23" s="54"/>
      <c r="O23" s="54"/>
      <c r="P23" s="54"/>
      <c r="Q23" s="68">
        <f t="shared" si="14"/>
        <v>0</v>
      </c>
      <c r="R23" s="68"/>
      <c r="S23" s="68"/>
      <c r="T23" s="33">
        <v>5</v>
      </c>
      <c r="U23" s="33">
        <f t="shared" si="15"/>
        <v>50</v>
      </c>
      <c r="V23" s="69" t="s">
        <v>3760</v>
      </c>
      <c r="W23" s="56"/>
    </row>
    <row r="24" s="1" customFormat="1" ht="26.25" customHeight="1" spans="1:23">
      <c r="A24" s="28" t="s">
        <v>3784</v>
      </c>
      <c r="B24" s="29" t="s">
        <v>2197</v>
      </c>
      <c r="C24" s="30" t="s">
        <v>2280</v>
      </c>
      <c r="D24" s="31" t="s">
        <v>2083</v>
      </c>
      <c r="E24" s="30" t="s">
        <v>3789</v>
      </c>
      <c r="F24" s="32" t="s">
        <v>1037</v>
      </c>
      <c r="G24" s="33">
        <f t="shared" si="12"/>
        <v>20</v>
      </c>
      <c r="H24" s="33">
        <v>20</v>
      </c>
      <c r="I24" s="33"/>
      <c r="J24" s="33"/>
      <c r="K24" s="33"/>
      <c r="L24" s="33"/>
      <c r="M24" s="54">
        <f t="shared" si="13"/>
        <v>0</v>
      </c>
      <c r="N24" s="54"/>
      <c r="O24" s="54"/>
      <c r="P24" s="54"/>
      <c r="Q24" s="68">
        <f t="shared" si="14"/>
        <v>0</v>
      </c>
      <c r="R24" s="68"/>
      <c r="S24" s="68"/>
      <c r="T24" s="33">
        <v>4</v>
      </c>
      <c r="U24" s="33">
        <f t="shared" si="15"/>
        <v>16</v>
      </c>
      <c r="V24" s="69" t="s">
        <v>3760</v>
      </c>
      <c r="W24" s="56"/>
    </row>
    <row r="25" s="1" customFormat="1" ht="26.25" customHeight="1" spans="1:23">
      <c r="A25" s="28" t="s">
        <v>3784</v>
      </c>
      <c r="B25" s="29" t="s">
        <v>2197</v>
      </c>
      <c r="C25" s="30" t="s">
        <v>2280</v>
      </c>
      <c r="D25" s="31" t="s">
        <v>2083</v>
      </c>
      <c r="E25" s="30" t="s">
        <v>3790</v>
      </c>
      <c r="F25" s="32" t="s">
        <v>933</v>
      </c>
      <c r="G25" s="33">
        <f t="shared" si="12"/>
        <v>2</v>
      </c>
      <c r="H25" s="33">
        <v>2</v>
      </c>
      <c r="I25" s="33"/>
      <c r="J25" s="33"/>
      <c r="K25" s="33"/>
      <c r="L25" s="33"/>
      <c r="M25" s="54">
        <f t="shared" si="13"/>
        <v>0</v>
      </c>
      <c r="N25" s="54"/>
      <c r="O25" s="54"/>
      <c r="P25" s="54"/>
      <c r="Q25" s="68">
        <f t="shared" si="14"/>
        <v>0</v>
      </c>
      <c r="R25" s="68"/>
      <c r="S25" s="68"/>
      <c r="T25" s="33">
        <v>0.08</v>
      </c>
      <c r="U25" s="33">
        <f t="shared" si="15"/>
        <v>1.92</v>
      </c>
      <c r="V25" s="69" t="s">
        <v>3760</v>
      </c>
      <c r="W25" s="56"/>
    </row>
    <row r="26" s="1" customFormat="1" ht="26.25" customHeight="1" spans="1:23">
      <c r="A26" s="28" t="s">
        <v>3784</v>
      </c>
      <c r="B26" s="29" t="s">
        <v>2197</v>
      </c>
      <c r="C26" s="30" t="s">
        <v>2280</v>
      </c>
      <c r="D26" s="31" t="s">
        <v>2083</v>
      </c>
      <c r="E26" s="30" t="s">
        <v>3791</v>
      </c>
      <c r="F26" s="32" t="s">
        <v>3792</v>
      </c>
      <c r="G26" s="33">
        <f t="shared" si="12"/>
        <v>50</v>
      </c>
      <c r="H26" s="33">
        <v>50</v>
      </c>
      <c r="I26" s="33"/>
      <c r="J26" s="33"/>
      <c r="K26" s="33"/>
      <c r="L26" s="33"/>
      <c r="M26" s="54">
        <f t="shared" si="13"/>
        <v>0</v>
      </c>
      <c r="N26" s="54"/>
      <c r="O26" s="54"/>
      <c r="P26" s="54"/>
      <c r="Q26" s="68">
        <f t="shared" si="14"/>
        <v>0</v>
      </c>
      <c r="R26" s="68"/>
      <c r="S26" s="68"/>
      <c r="T26" s="33"/>
      <c r="U26" s="33">
        <f t="shared" si="15"/>
        <v>50</v>
      </c>
      <c r="V26" s="69" t="s">
        <v>3760</v>
      </c>
      <c r="W26" s="56"/>
    </row>
    <row r="27" s="1" customFormat="1" ht="26.25" customHeight="1" spans="1:23">
      <c r="A27" s="28" t="s">
        <v>3784</v>
      </c>
      <c r="B27" s="29" t="s">
        <v>2197</v>
      </c>
      <c r="C27" s="30" t="s">
        <v>2280</v>
      </c>
      <c r="D27" s="31" t="s">
        <v>2083</v>
      </c>
      <c r="E27" s="30" t="s">
        <v>3793</v>
      </c>
      <c r="F27" s="32" t="s">
        <v>2305</v>
      </c>
      <c r="G27" s="33">
        <f t="shared" si="12"/>
        <v>160</v>
      </c>
      <c r="H27" s="33">
        <v>160</v>
      </c>
      <c r="I27" s="33"/>
      <c r="J27" s="33"/>
      <c r="K27" s="33"/>
      <c r="L27" s="33"/>
      <c r="M27" s="54">
        <f t="shared" si="13"/>
        <v>0</v>
      </c>
      <c r="N27" s="54"/>
      <c r="O27" s="54"/>
      <c r="P27" s="54"/>
      <c r="Q27" s="68">
        <f t="shared" si="14"/>
        <v>0</v>
      </c>
      <c r="R27" s="68"/>
      <c r="S27" s="68"/>
      <c r="T27" s="33">
        <v>6</v>
      </c>
      <c r="U27" s="33">
        <f t="shared" si="15"/>
        <v>154</v>
      </c>
      <c r="V27" s="69" t="s">
        <v>3760</v>
      </c>
      <c r="W27" s="56"/>
    </row>
    <row r="28" s="1" customFormat="1" ht="26.25" customHeight="1" spans="1:23">
      <c r="A28" s="28" t="s">
        <v>3784</v>
      </c>
      <c r="B28" s="29" t="s">
        <v>2197</v>
      </c>
      <c r="C28" s="30" t="s">
        <v>2280</v>
      </c>
      <c r="D28" s="28" t="s">
        <v>2083</v>
      </c>
      <c r="E28" s="30" t="s">
        <v>3794</v>
      </c>
      <c r="F28" s="32" t="s">
        <v>3795</v>
      </c>
      <c r="G28" s="33">
        <f t="shared" si="12"/>
        <v>386</v>
      </c>
      <c r="H28" s="33"/>
      <c r="I28" s="33">
        <v>386</v>
      </c>
      <c r="J28" s="33"/>
      <c r="K28" s="33"/>
      <c r="L28" s="33"/>
      <c r="M28" s="54">
        <f t="shared" si="13"/>
        <v>0</v>
      </c>
      <c r="N28" s="54"/>
      <c r="O28" s="54"/>
      <c r="P28" s="54"/>
      <c r="Q28" s="68">
        <f t="shared" si="14"/>
        <v>0</v>
      </c>
      <c r="R28" s="68"/>
      <c r="S28" s="68"/>
      <c r="T28" s="33"/>
      <c r="U28" s="33">
        <f t="shared" si="15"/>
        <v>386</v>
      </c>
      <c r="V28" s="69" t="s">
        <v>3760</v>
      </c>
      <c r="W28" s="56"/>
    </row>
    <row r="29" s="1" customFormat="1" ht="26.25" customHeight="1" spans="1:23">
      <c r="A29" s="28" t="s">
        <v>3784</v>
      </c>
      <c r="B29" s="29" t="s">
        <v>2197</v>
      </c>
      <c r="C29" s="30" t="s">
        <v>2280</v>
      </c>
      <c r="D29" s="31" t="s">
        <v>2083</v>
      </c>
      <c r="E29" s="30" t="s">
        <v>3796</v>
      </c>
      <c r="F29" s="32" t="s">
        <v>3797</v>
      </c>
      <c r="G29" s="33">
        <f t="shared" si="12"/>
        <v>60</v>
      </c>
      <c r="H29" s="33">
        <v>60</v>
      </c>
      <c r="I29" s="33"/>
      <c r="J29" s="33"/>
      <c r="K29" s="33"/>
      <c r="L29" s="33"/>
      <c r="M29" s="54">
        <f t="shared" si="13"/>
        <v>0</v>
      </c>
      <c r="N29" s="54"/>
      <c r="O29" s="54"/>
      <c r="P29" s="54"/>
      <c r="Q29" s="68">
        <f t="shared" si="14"/>
        <v>0</v>
      </c>
      <c r="R29" s="68"/>
      <c r="S29" s="68"/>
      <c r="T29" s="33"/>
      <c r="U29" s="33">
        <f t="shared" si="15"/>
        <v>60</v>
      </c>
      <c r="V29" s="69" t="s">
        <v>3760</v>
      </c>
      <c r="W29" s="56"/>
    </row>
    <row r="30" s="1" customFormat="1" ht="26.25" customHeight="1" spans="1:23">
      <c r="A30" s="28" t="s">
        <v>3784</v>
      </c>
      <c r="B30" s="29" t="s">
        <v>2197</v>
      </c>
      <c r="C30" s="30" t="s">
        <v>2280</v>
      </c>
      <c r="D30" s="28" t="s">
        <v>2083</v>
      </c>
      <c r="E30" s="34" t="s">
        <v>3798</v>
      </c>
      <c r="F30" s="35" t="s">
        <v>3799</v>
      </c>
      <c r="G30" s="33">
        <f t="shared" si="12"/>
        <v>0</v>
      </c>
      <c r="H30" s="33"/>
      <c r="I30" s="33"/>
      <c r="J30" s="33"/>
      <c r="K30" s="55">
        <v>51.8</v>
      </c>
      <c r="L30" s="33"/>
      <c r="M30" s="54">
        <f t="shared" si="13"/>
        <v>0</v>
      </c>
      <c r="N30" s="54"/>
      <c r="O30" s="54"/>
      <c r="P30" s="54"/>
      <c r="Q30" s="68">
        <f t="shared" si="14"/>
        <v>0</v>
      </c>
      <c r="R30" s="68"/>
      <c r="S30" s="68"/>
      <c r="T30" s="33"/>
      <c r="U30" s="33">
        <f t="shared" si="15"/>
        <v>51.8</v>
      </c>
      <c r="V30" s="69" t="s">
        <v>3800</v>
      </c>
      <c r="W30" s="56"/>
    </row>
    <row r="31" s="1" customFormat="1" ht="26.25" customHeight="1" spans="1:23">
      <c r="A31" s="28" t="s">
        <v>3784</v>
      </c>
      <c r="B31" s="29" t="s">
        <v>2197</v>
      </c>
      <c r="C31" s="35" t="s">
        <v>2546</v>
      </c>
      <c r="D31" s="38" t="s">
        <v>2547</v>
      </c>
      <c r="E31" s="34" t="s">
        <v>3801</v>
      </c>
      <c r="F31" s="38" t="s">
        <v>3802</v>
      </c>
      <c r="G31" s="33">
        <f t="shared" si="12"/>
        <v>0</v>
      </c>
      <c r="H31" s="33"/>
      <c r="I31" s="33"/>
      <c r="J31" s="33"/>
      <c r="K31" s="33"/>
      <c r="L31" s="33"/>
      <c r="M31" s="54">
        <f t="shared" si="13"/>
        <v>0</v>
      </c>
      <c r="N31" s="54"/>
      <c r="O31" s="54"/>
      <c r="P31" s="54"/>
      <c r="Q31" s="68">
        <f t="shared" si="14"/>
        <v>5</v>
      </c>
      <c r="R31" s="68">
        <v>5</v>
      </c>
      <c r="S31" s="68"/>
      <c r="T31" s="33"/>
      <c r="U31" s="68">
        <f t="shared" si="15"/>
        <v>5</v>
      </c>
      <c r="V31" s="71" t="s">
        <v>2550</v>
      </c>
      <c r="W31" s="56"/>
    </row>
    <row r="32" s="1" customFormat="1" ht="26.25" customHeight="1" spans="1:23">
      <c r="A32" s="28" t="s">
        <v>3784</v>
      </c>
      <c r="B32" s="29" t="s">
        <v>2197</v>
      </c>
      <c r="C32" s="30" t="s">
        <v>2746</v>
      </c>
      <c r="D32" s="36" t="s">
        <v>2747</v>
      </c>
      <c r="E32" s="37" t="s">
        <v>3803</v>
      </c>
      <c r="F32" s="32" t="s">
        <v>3490</v>
      </c>
      <c r="G32" s="33">
        <f t="shared" si="12"/>
        <v>555.12</v>
      </c>
      <c r="H32" s="33">
        <v>555.12</v>
      </c>
      <c r="I32" s="33"/>
      <c r="J32" s="33"/>
      <c r="K32" s="33"/>
      <c r="L32" s="33"/>
      <c r="M32" s="54">
        <f t="shared" si="13"/>
        <v>0</v>
      </c>
      <c r="N32" s="54"/>
      <c r="O32" s="54"/>
      <c r="P32" s="54"/>
      <c r="Q32" s="68">
        <f t="shared" si="14"/>
        <v>0</v>
      </c>
      <c r="R32" s="68"/>
      <c r="S32" s="68"/>
      <c r="T32" s="33"/>
      <c r="U32" s="70">
        <f t="shared" si="15"/>
        <v>555.12</v>
      </c>
      <c r="V32" s="69" t="s">
        <v>3760</v>
      </c>
      <c r="W32" s="56"/>
    </row>
    <row r="33" s="1" customFormat="1" ht="26.25" customHeight="1" spans="1:23">
      <c r="A33" s="28" t="s">
        <v>3784</v>
      </c>
      <c r="B33" s="29" t="s">
        <v>2197</v>
      </c>
      <c r="C33" s="30" t="s">
        <v>2746</v>
      </c>
      <c r="D33" s="31" t="s">
        <v>2747</v>
      </c>
      <c r="E33" s="37" t="s">
        <v>3804</v>
      </c>
      <c r="F33" s="32" t="s">
        <v>3805</v>
      </c>
      <c r="G33" s="33">
        <f t="shared" si="12"/>
        <v>106.8</v>
      </c>
      <c r="H33" s="33">
        <v>106.8</v>
      </c>
      <c r="I33" s="33"/>
      <c r="J33" s="33"/>
      <c r="K33" s="33"/>
      <c r="L33" s="33"/>
      <c r="M33" s="54">
        <f t="shared" si="13"/>
        <v>0</v>
      </c>
      <c r="N33" s="54"/>
      <c r="O33" s="54"/>
      <c r="P33" s="54"/>
      <c r="Q33" s="68">
        <f t="shared" si="14"/>
        <v>0</v>
      </c>
      <c r="R33" s="68"/>
      <c r="S33" s="68"/>
      <c r="T33" s="33">
        <v>9</v>
      </c>
      <c r="U33" s="33">
        <f t="shared" si="15"/>
        <v>97.8</v>
      </c>
      <c r="V33" s="69" t="s">
        <v>3760</v>
      </c>
      <c r="W33" s="56"/>
    </row>
    <row r="34" s="1" customFormat="1" ht="26.25" customHeight="1" spans="1:23">
      <c r="A34" s="28" t="s">
        <v>3784</v>
      </c>
      <c r="B34" s="29" t="s">
        <v>2197</v>
      </c>
      <c r="C34" s="30" t="s">
        <v>2746</v>
      </c>
      <c r="D34" s="31" t="s">
        <v>2747</v>
      </c>
      <c r="E34" s="37" t="s">
        <v>3806</v>
      </c>
      <c r="F34" s="32" t="s">
        <v>1084</v>
      </c>
      <c r="G34" s="33">
        <f t="shared" si="12"/>
        <v>135</v>
      </c>
      <c r="H34" s="33">
        <v>135</v>
      </c>
      <c r="I34" s="33"/>
      <c r="J34" s="33"/>
      <c r="K34" s="33"/>
      <c r="L34" s="33"/>
      <c r="M34" s="54">
        <f t="shared" si="13"/>
        <v>0</v>
      </c>
      <c r="N34" s="54"/>
      <c r="O34" s="54"/>
      <c r="P34" s="54"/>
      <c r="Q34" s="68">
        <f t="shared" si="14"/>
        <v>0</v>
      </c>
      <c r="R34" s="68"/>
      <c r="S34" s="68"/>
      <c r="T34" s="33">
        <v>9</v>
      </c>
      <c r="U34" s="33">
        <f t="shared" si="15"/>
        <v>126</v>
      </c>
      <c r="V34" s="69" t="s">
        <v>3760</v>
      </c>
      <c r="W34" s="56"/>
    </row>
    <row r="35" s="1" customFormat="1" ht="26.25" customHeight="1" spans="1:23">
      <c r="A35" s="28" t="s">
        <v>3784</v>
      </c>
      <c r="B35" s="29" t="s">
        <v>2197</v>
      </c>
      <c r="C35" s="30" t="s">
        <v>2746</v>
      </c>
      <c r="D35" s="39" t="s">
        <v>2747</v>
      </c>
      <c r="E35" s="37" t="s">
        <v>3807</v>
      </c>
      <c r="F35" s="32" t="s">
        <v>3808</v>
      </c>
      <c r="G35" s="33">
        <f t="shared" si="12"/>
        <v>0</v>
      </c>
      <c r="H35" s="33"/>
      <c r="I35" s="33"/>
      <c r="J35" s="33"/>
      <c r="K35" s="33"/>
      <c r="L35" s="33"/>
      <c r="M35" s="54">
        <f t="shared" si="13"/>
        <v>210</v>
      </c>
      <c r="N35" s="54"/>
      <c r="O35" s="54">
        <v>210</v>
      </c>
      <c r="P35" s="54"/>
      <c r="Q35" s="68">
        <f t="shared" si="14"/>
        <v>0</v>
      </c>
      <c r="R35" s="68"/>
      <c r="S35" s="68"/>
      <c r="T35" s="33"/>
      <c r="U35" s="54">
        <f t="shared" si="15"/>
        <v>210</v>
      </c>
      <c r="V35" s="72" t="s">
        <v>637</v>
      </c>
      <c r="W35" s="56"/>
    </row>
    <row r="36" s="1" customFormat="1" ht="26.25" customHeight="1" spans="1:23">
      <c r="A36" s="28" t="s">
        <v>3784</v>
      </c>
      <c r="B36" s="29" t="s">
        <v>2197</v>
      </c>
      <c r="C36" s="35" t="s">
        <v>2921</v>
      </c>
      <c r="D36" s="40" t="s">
        <v>2922</v>
      </c>
      <c r="E36" s="41" t="s">
        <v>3809</v>
      </c>
      <c r="F36" s="35" t="s">
        <v>2924</v>
      </c>
      <c r="G36" s="33">
        <f t="shared" si="12"/>
        <v>0</v>
      </c>
      <c r="H36" s="33"/>
      <c r="I36" s="33"/>
      <c r="J36" s="33"/>
      <c r="K36" s="55">
        <v>100</v>
      </c>
      <c r="L36" s="33"/>
      <c r="M36" s="54">
        <f t="shared" si="13"/>
        <v>0</v>
      </c>
      <c r="N36" s="54"/>
      <c r="O36" s="54"/>
      <c r="P36" s="54"/>
      <c r="Q36" s="68">
        <f t="shared" si="14"/>
        <v>0</v>
      </c>
      <c r="R36" s="68"/>
      <c r="S36" s="68"/>
      <c r="T36" s="33"/>
      <c r="U36" s="33">
        <f t="shared" si="15"/>
        <v>100</v>
      </c>
      <c r="V36" s="69" t="s">
        <v>3760</v>
      </c>
      <c r="W36" s="56"/>
    </row>
    <row r="37" s="1" customFormat="1" ht="26.25" customHeight="1" spans="1:23">
      <c r="A37" s="28" t="s">
        <v>3784</v>
      </c>
      <c r="B37" s="29" t="s">
        <v>2197</v>
      </c>
      <c r="C37" s="30" t="s">
        <v>3296</v>
      </c>
      <c r="D37" s="28" t="s">
        <v>3294</v>
      </c>
      <c r="E37" s="37" t="s">
        <v>3810</v>
      </c>
      <c r="F37" s="32" t="s">
        <v>3811</v>
      </c>
      <c r="G37" s="33">
        <f t="shared" si="12"/>
        <v>406.8</v>
      </c>
      <c r="H37" s="33">
        <v>406.8</v>
      </c>
      <c r="I37" s="33"/>
      <c r="J37" s="33"/>
      <c r="K37" s="33"/>
      <c r="L37" s="33"/>
      <c r="M37" s="54">
        <f t="shared" si="13"/>
        <v>0</v>
      </c>
      <c r="N37" s="54"/>
      <c r="O37" s="54"/>
      <c r="P37" s="54"/>
      <c r="Q37" s="68">
        <f t="shared" si="14"/>
        <v>0</v>
      </c>
      <c r="R37" s="68"/>
      <c r="S37" s="68"/>
      <c r="T37" s="33">
        <v>40.68</v>
      </c>
      <c r="U37" s="33">
        <f t="shared" si="15"/>
        <v>366.12</v>
      </c>
      <c r="V37" s="69" t="s">
        <v>3760</v>
      </c>
      <c r="W37" s="56"/>
    </row>
    <row r="38" s="1" customFormat="1" ht="26.25" customHeight="1" spans="1:23">
      <c r="A38" s="28" t="s">
        <v>3784</v>
      </c>
      <c r="B38" s="29" t="s">
        <v>2197</v>
      </c>
      <c r="C38" s="30" t="s">
        <v>3296</v>
      </c>
      <c r="D38" s="28" t="s">
        <v>3294</v>
      </c>
      <c r="E38" s="37" t="s">
        <v>3812</v>
      </c>
      <c r="F38" s="32" t="s">
        <v>3813</v>
      </c>
      <c r="G38" s="33">
        <f t="shared" si="12"/>
        <v>382.4</v>
      </c>
      <c r="H38" s="33">
        <v>382.4</v>
      </c>
      <c r="I38" s="33"/>
      <c r="J38" s="33"/>
      <c r="K38" s="33"/>
      <c r="L38" s="33"/>
      <c r="M38" s="54">
        <f t="shared" si="13"/>
        <v>0</v>
      </c>
      <c r="N38" s="54"/>
      <c r="O38" s="54"/>
      <c r="P38" s="54"/>
      <c r="Q38" s="68">
        <f t="shared" si="14"/>
        <v>0</v>
      </c>
      <c r="R38" s="68"/>
      <c r="S38" s="68"/>
      <c r="T38" s="33">
        <v>38.24</v>
      </c>
      <c r="U38" s="33">
        <f t="shared" si="15"/>
        <v>344.16</v>
      </c>
      <c r="V38" s="69" t="s">
        <v>3760</v>
      </c>
      <c r="W38" s="56"/>
    </row>
    <row r="39" s="1" customFormat="1" ht="26.25" customHeight="1" spans="1:23">
      <c r="A39" s="28" t="s">
        <v>3784</v>
      </c>
      <c r="B39" s="29" t="s">
        <v>2197</v>
      </c>
      <c r="C39" s="30" t="s">
        <v>3296</v>
      </c>
      <c r="D39" s="28" t="s">
        <v>3294</v>
      </c>
      <c r="E39" s="37" t="s">
        <v>3814</v>
      </c>
      <c r="F39" s="32" t="s">
        <v>3815</v>
      </c>
      <c r="G39" s="33">
        <f t="shared" si="12"/>
        <v>1491.6</v>
      </c>
      <c r="H39" s="33">
        <v>1491.6</v>
      </c>
      <c r="I39" s="33"/>
      <c r="J39" s="33"/>
      <c r="K39" s="33"/>
      <c r="L39" s="33"/>
      <c r="M39" s="54">
        <f t="shared" si="13"/>
        <v>0</v>
      </c>
      <c r="N39" s="54"/>
      <c r="O39" s="54"/>
      <c r="P39" s="54"/>
      <c r="Q39" s="68">
        <f t="shared" si="14"/>
        <v>0</v>
      </c>
      <c r="R39" s="68"/>
      <c r="S39" s="68"/>
      <c r="T39" s="33">
        <v>0</v>
      </c>
      <c r="U39" s="33">
        <f t="shared" si="15"/>
        <v>1491.6</v>
      </c>
      <c r="V39" s="69" t="s">
        <v>3760</v>
      </c>
      <c r="W39" s="56"/>
    </row>
    <row r="40" s="1" customFormat="1" ht="26.25" customHeight="1" spans="1:23">
      <c r="A40" s="28" t="s">
        <v>3784</v>
      </c>
      <c r="B40" s="29" t="s">
        <v>2197</v>
      </c>
      <c r="C40" s="30" t="s">
        <v>3703</v>
      </c>
      <c r="D40" s="28" t="s">
        <v>1105</v>
      </c>
      <c r="E40" s="30" t="s">
        <v>3816</v>
      </c>
      <c r="F40" s="42" t="s">
        <v>3817</v>
      </c>
      <c r="G40" s="33">
        <f t="shared" si="12"/>
        <v>924</v>
      </c>
      <c r="H40" s="33">
        <v>924</v>
      </c>
      <c r="I40" s="33"/>
      <c r="J40" s="33"/>
      <c r="K40" s="55">
        <f>-51.8-421.49-100</f>
        <v>-573.29</v>
      </c>
      <c r="L40" s="33"/>
      <c r="M40" s="54">
        <f t="shared" si="13"/>
        <v>0</v>
      </c>
      <c r="N40" s="54"/>
      <c r="O40" s="54"/>
      <c r="P40" s="54"/>
      <c r="Q40" s="68">
        <f t="shared" si="14"/>
        <v>0</v>
      </c>
      <c r="R40" s="68"/>
      <c r="S40" s="68"/>
      <c r="T40" s="73">
        <v>350.71</v>
      </c>
      <c r="U40" s="33">
        <f t="shared" si="15"/>
        <v>0</v>
      </c>
      <c r="V40" s="69" t="s">
        <v>3760</v>
      </c>
      <c r="W40" s="56"/>
    </row>
    <row r="41" s="1" customFormat="1" ht="26.25" customHeight="1" spans="1:23">
      <c r="A41" s="28" t="s">
        <v>3784</v>
      </c>
      <c r="B41" s="29" t="s">
        <v>2197</v>
      </c>
      <c r="C41" s="30" t="s">
        <v>2412</v>
      </c>
      <c r="D41" s="28" t="s">
        <v>2310</v>
      </c>
      <c r="E41" s="30" t="s">
        <v>3816</v>
      </c>
      <c r="F41" s="32" t="s">
        <v>3818</v>
      </c>
      <c r="G41" s="33">
        <f t="shared" si="12"/>
        <v>0</v>
      </c>
      <c r="H41" s="33"/>
      <c r="I41" s="33"/>
      <c r="J41" s="33"/>
      <c r="K41" s="33">
        <v>421.49</v>
      </c>
      <c r="L41" s="33"/>
      <c r="M41" s="54">
        <f t="shared" si="13"/>
        <v>0</v>
      </c>
      <c r="N41" s="54"/>
      <c r="O41" s="54"/>
      <c r="P41" s="54"/>
      <c r="Q41" s="68">
        <f t="shared" si="14"/>
        <v>0</v>
      </c>
      <c r="R41" s="68"/>
      <c r="S41" s="68"/>
      <c r="T41" s="33"/>
      <c r="U41" s="33">
        <f t="shared" si="15"/>
        <v>421.49</v>
      </c>
      <c r="V41" s="69" t="s">
        <v>3760</v>
      </c>
      <c r="W41" s="56"/>
    </row>
    <row r="42" s="1" customFormat="1" ht="26.25" customHeight="1" spans="1:23">
      <c r="A42" s="28" t="s">
        <v>3784</v>
      </c>
      <c r="B42" s="29" t="s">
        <v>2197</v>
      </c>
      <c r="C42" s="30" t="s">
        <v>2412</v>
      </c>
      <c r="D42" s="28" t="s">
        <v>2310</v>
      </c>
      <c r="E42" s="30" t="s">
        <v>3819</v>
      </c>
      <c r="F42" s="32" t="s">
        <v>3820</v>
      </c>
      <c r="G42" s="33">
        <f t="shared" si="12"/>
        <v>120</v>
      </c>
      <c r="H42" s="33">
        <v>120</v>
      </c>
      <c r="I42" s="33"/>
      <c r="J42" s="33"/>
      <c r="K42" s="33"/>
      <c r="L42" s="33"/>
      <c r="M42" s="54">
        <f t="shared" si="13"/>
        <v>0</v>
      </c>
      <c r="N42" s="54"/>
      <c r="O42" s="54"/>
      <c r="P42" s="54"/>
      <c r="Q42" s="68">
        <f t="shared" si="14"/>
        <v>0</v>
      </c>
      <c r="R42" s="68"/>
      <c r="S42" s="68"/>
      <c r="T42" s="33">
        <v>24</v>
      </c>
      <c r="U42" s="33">
        <f t="shared" si="15"/>
        <v>96</v>
      </c>
      <c r="V42" s="69" t="s">
        <v>3760</v>
      </c>
      <c r="W42" s="56"/>
    </row>
    <row r="43" s="1" customFormat="1" ht="26.25" customHeight="1" spans="1:23">
      <c r="A43" s="28" t="s">
        <v>3784</v>
      </c>
      <c r="B43" s="29" t="s">
        <v>2197</v>
      </c>
      <c r="C43" s="30" t="s">
        <v>2412</v>
      </c>
      <c r="D43" s="28" t="s">
        <v>2310</v>
      </c>
      <c r="E43" s="30" t="s">
        <v>3821</v>
      </c>
      <c r="F43" s="32" t="s">
        <v>3822</v>
      </c>
      <c r="G43" s="33">
        <f t="shared" si="12"/>
        <v>3000</v>
      </c>
      <c r="H43" s="33"/>
      <c r="I43" s="33">
        <v>3000</v>
      </c>
      <c r="J43" s="33"/>
      <c r="K43" s="33"/>
      <c r="L43" s="33"/>
      <c r="M43" s="54">
        <f t="shared" si="13"/>
        <v>0</v>
      </c>
      <c r="N43" s="54"/>
      <c r="O43" s="54"/>
      <c r="P43" s="54"/>
      <c r="Q43" s="68">
        <f t="shared" si="14"/>
        <v>0</v>
      </c>
      <c r="R43" s="68"/>
      <c r="S43" s="68"/>
      <c r="T43" s="73">
        <v>3000</v>
      </c>
      <c r="U43" s="33">
        <f t="shared" si="15"/>
        <v>0</v>
      </c>
      <c r="V43" s="69" t="s">
        <v>3760</v>
      </c>
      <c r="W43" s="56"/>
    </row>
    <row r="44" s="1" customFormat="1" ht="26.25" customHeight="1" spans="1:23">
      <c r="A44" s="16" t="s">
        <v>3823</v>
      </c>
      <c r="B44" s="23" t="s">
        <v>3824</v>
      </c>
      <c r="C44" s="24"/>
      <c r="D44" s="24"/>
      <c r="E44" s="25"/>
      <c r="F44" s="26"/>
      <c r="G44" s="27">
        <f t="shared" ref="G44:Z44" si="16">SUM(G45:G48)</f>
        <v>363.62</v>
      </c>
      <c r="H44" s="27">
        <f t="shared" si="16"/>
        <v>307.5</v>
      </c>
      <c r="I44" s="27">
        <f t="shared" si="16"/>
        <v>56.12</v>
      </c>
      <c r="J44" s="27">
        <f t="shared" si="16"/>
        <v>0</v>
      </c>
      <c r="K44" s="27">
        <f t="shared" si="16"/>
        <v>0</v>
      </c>
      <c r="L44" s="27">
        <f t="shared" si="16"/>
        <v>0</v>
      </c>
      <c r="M44" s="27">
        <f t="shared" si="16"/>
        <v>0</v>
      </c>
      <c r="N44" s="27">
        <f t="shared" si="16"/>
        <v>0</v>
      </c>
      <c r="O44" s="27">
        <f t="shared" si="16"/>
        <v>0</v>
      </c>
      <c r="P44" s="27">
        <f t="shared" si="16"/>
        <v>0</v>
      </c>
      <c r="Q44" s="27">
        <f t="shared" si="16"/>
        <v>0</v>
      </c>
      <c r="R44" s="27">
        <f t="shared" si="16"/>
        <v>0</v>
      </c>
      <c r="S44" s="27">
        <f t="shared" si="16"/>
        <v>0</v>
      </c>
      <c r="T44" s="27">
        <f t="shared" si="16"/>
        <v>0</v>
      </c>
      <c r="U44" s="27">
        <f t="shared" si="16"/>
        <v>363.62</v>
      </c>
      <c r="V44" s="67">
        <f t="shared" si="16"/>
        <v>0</v>
      </c>
      <c r="W44" s="56"/>
    </row>
    <row r="45" s="1" customFormat="1" ht="26.25" customHeight="1" spans="1:23">
      <c r="A45" s="28" t="s">
        <v>3825</v>
      </c>
      <c r="B45" s="29" t="s">
        <v>3826</v>
      </c>
      <c r="C45" s="30" t="s">
        <v>3284</v>
      </c>
      <c r="D45" s="36" t="s">
        <v>3285</v>
      </c>
      <c r="E45" s="37" t="s">
        <v>3827</v>
      </c>
      <c r="F45" s="32" t="s">
        <v>1058</v>
      </c>
      <c r="G45" s="33">
        <f t="shared" ref="G45:G48" si="17">SUM(H45:J45)</f>
        <v>292.5</v>
      </c>
      <c r="H45" s="33">
        <v>292.5</v>
      </c>
      <c r="I45" s="33"/>
      <c r="J45" s="33"/>
      <c r="K45" s="33"/>
      <c r="L45" s="33"/>
      <c r="M45" s="54">
        <f t="shared" ref="M45:M48" si="18">N45+O45-P45</f>
        <v>0</v>
      </c>
      <c r="N45" s="54"/>
      <c r="O45" s="54"/>
      <c r="P45" s="54"/>
      <c r="Q45" s="68">
        <f t="shared" ref="Q45:Q48" si="19">R45-S45</f>
        <v>0</v>
      </c>
      <c r="R45" s="68"/>
      <c r="S45" s="68"/>
      <c r="T45" s="33"/>
      <c r="U45" s="70">
        <f t="shared" ref="U45:U48" si="20">G45+K45+L45+M45+Q45-T45</f>
        <v>292.5</v>
      </c>
      <c r="V45" s="69" t="s">
        <v>3760</v>
      </c>
      <c r="W45" s="56"/>
    </row>
    <row r="46" s="1" customFormat="1" ht="26.25" customHeight="1" spans="1:23">
      <c r="A46" s="28" t="s">
        <v>3825</v>
      </c>
      <c r="B46" s="29" t="s">
        <v>3826</v>
      </c>
      <c r="C46" s="30" t="s">
        <v>3284</v>
      </c>
      <c r="D46" s="31" t="s">
        <v>3285</v>
      </c>
      <c r="E46" s="30" t="s">
        <v>3828</v>
      </c>
      <c r="F46" s="32" t="s">
        <v>3829</v>
      </c>
      <c r="G46" s="33">
        <f t="shared" si="17"/>
        <v>15</v>
      </c>
      <c r="H46" s="33">
        <v>15</v>
      </c>
      <c r="I46" s="33"/>
      <c r="J46" s="33"/>
      <c r="K46" s="33"/>
      <c r="L46" s="33"/>
      <c r="M46" s="54">
        <f t="shared" si="18"/>
        <v>0</v>
      </c>
      <c r="N46" s="54"/>
      <c r="O46" s="54"/>
      <c r="P46" s="54"/>
      <c r="Q46" s="68">
        <f t="shared" si="19"/>
        <v>0</v>
      </c>
      <c r="R46" s="68"/>
      <c r="S46" s="68"/>
      <c r="T46" s="33"/>
      <c r="U46" s="33">
        <f t="shared" si="20"/>
        <v>15</v>
      </c>
      <c r="V46" s="69" t="s">
        <v>3760</v>
      </c>
      <c r="W46" s="56"/>
    </row>
    <row r="47" s="1" customFormat="1" ht="26.25" customHeight="1" spans="1:23">
      <c r="A47" s="28" t="s">
        <v>3825</v>
      </c>
      <c r="B47" s="29" t="s">
        <v>3826</v>
      </c>
      <c r="C47" s="30" t="s">
        <v>3284</v>
      </c>
      <c r="D47" s="28" t="s">
        <v>3285</v>
      </c>
      <c r="E47" s="30" t="s">
        <v>3830</v>
      </c>
      <c r="F47" s="32" t="s">
        <v>3831</v>
      </c>
      <c r="G47" s="33">
        <f t="shared" si="17"/>
        <v>6.12</v>
      </c>
      <c r="H47" s="33"/>
      <c r="I47" s="33">
        <v>6.12</v>
      </c>
      <c r="J47" s="33"/>
      <c r="K47" s="33"/>
      <c r="L47" s="33"/>
      <c r="M47" s="54">
        <f t="shared" si="18"/>
        <v>0</v>
      </c>
      <c r="N47" s="54"/>
      <c r="O47" s="54"/>
      <c r="P47" s="54"/>
      <c r="Q47" s="68">
        <f t="shared" si="19"/>
        <v>0</v>
      </c>
      <c r="R47" s="68"/>
      <c r="S47" s="68"/>
      <c r="T47" s="33"/>
      <c r="U47" s="33">
        <f t="shared" si="20"/>
        <v>6.12</v>
      </c>
      <c r="V47" s="69" t="s">
        <v>3760</v>
      </c>
      <c r="W47" s="56"/>
    </row>
    <row r="48" s="1" customFormat="1" ht="26.25" customHeight="1" spans="1:23">
      <c r="A48" s="28" t="s">
        <v>3825</v>
      </c>
      <c r="B48" s="29" t="s">
        <v>3826</v>
      </c>
      <c r="C48" s="30" t="s">
        <v>3284</v>
      </c>
      <c r="D48" s="28" t="s">
        <v>3285</v>
      </c>
      <c r="E48" s="30" t="s">
        <v>3832</v>
      </c>
      <c r="F48" s="32" t="s">
        <v>3833</v>
      </c>
      <c r="G48" s="33">
        <f t="shared" si="17"/>
        <v>50</v>
      </c>
      <c r="H48" s="33"/>
      <c r="I48" s="33">
        <v>50</v>
      </c>
      <c r="J48" s="33"/>
      <c r="K48" s="33"/>
      <c r="L48" s="33"/>
      <c r="M48" s="54">
        <f t="shared" si="18"/>
        <v>0</v>
      </c>
      <c r="N48" s="54"/>
      <c r="O48" s="54"/>
      <c r="P48" s="54"/>
      <c r="Q48" s="68">
        <f t="shared" si="19"/>
        <v>0</v>
      </c>
      <c r="R48" s="68"/>
      <c r="S48" s="68"/>
      <c r="T48" s="33"/>
      <c r="U48" s="33">
        <f t="shared" si="20"/>
        <v>50</v>
      </c>
      <c r="V48" s="69" t="s">
        <v>3760</v>
      </c>
      <c r="W48" s="56"/>
    </row>
    <row r="49" s="1" customFormat="1" ht="26.25" customHeight="1" spans="1:23">
      <c r="A49" s="43" t="s">
        <v>3834</v>
      </c>
      <c r="B49" s="44" t="s">
        <v>1417</v>
      </c>
      <c r="C49" s="24"/>
      <c r="D49" s="24"/>
      <c r="E49" s="25"/>
      <c r="F49" s="26"/>
      <c r="G49" s="27">
        <f t="shared" ref="G49:Z49" si="21">SUM(G50)</f>
        <v>0</v>
      </c>
      <c r="H49" s="27">
        <f t="shared" si="21"/>
        <v>0</v>
      </c>
      <c r="I49" s="27">
        <f t="shared" si="21"/>
        <v>0</v>
      </c>
      <c r="J49" s="27">
        <f t="shared" si="21"/>
        <v>0</v>
      </c>
      <c r="K49" s="27">
        <f t="shared" si="21"/>
        <v>1.02</v>
      </c>
      <c r="L49" s="27">
        <f t="shared" si="21"/>
        <v>0</v>
      </c>
      <c r="M49" s="27">
        <f t="shared" si="21"/>
        <v>0</v>
      </c>
      <c r="N49" s="27">
        <f t="shared" si="21"/>
        <v>0</v>
      </c>
      <c r="O49" s="27">
        <f t="shared" si="21"/>
        <v>0</v>
      </c>
      <c r="P49" s="27">
        <f t="shared" si="21"/>
        <v>0</v>
      </c>
      <c r="Q49" s="27">
        <f t="shared" si="21"/>
        <v>0</v>
      </c>
      <c r="R49" s="27">
        <f t="shared" si="21"/>
        <v>0</v>
      </c>
      <c r="S49" s="27">
        <f t="shared" si="21"/>
        <v>0</v>
      </c>
      <c r="T49" s="27">
        <f t="shared" si="21"/>
        <v>0</v>
      </c>
      <c r="U49" s="27">
        <f t="shared" si="21"/>
        <v>1.02</v>
      </c>
      <c r="V49" s="67">
        <f t="shared" si="21"/>
        <v>0</v>
      </c>
      <c r="W49" s="56"/>
    </row>
    <row r="50" s="1" customFormat="1" ht="26.25" customHeight="1" spans="1:23">
      <c r="A50" s="45" t="s">
        <v>3835</v>
      </c>
      <c r="B50" s="46" t="s">
        <v>2214</v>
      </c>
      <c r="C50" s="35" t="s">
        <v>3836</v>
      </c>
      <c r="D50" s="47" t="s">
        <v>2083</v>
      </c>
      <c r="E50" s="34" t="s">
        <v>3837</v>
      </c>
      <c r="F50" s="35" t="s">
        <v>2317</v>
      </c>
      <c r="G50" s="33">
        <f t="shared" ref="G50:G57" si="22">SUM(H50:J50)</f>
        <v>0</v>
      </c>
      <c r="H50" s="33"/>
      <c r="I50" s="33"/>
      <c r="J50" s="33"/>
      <c r="K50" s="55">
        <v>1.02</v>
      </c>
      <c r="L50" s="33"/>
      <c r="M50" s="54">
        <f t="shared" ref="M50:M57" si="23">N50+O50-P50</f>
        <v>0</v>
      </c>
      <c r="N50" s="54"/>
      <c r="O50" s="54"/>
      <c r="P50" s="54"/>
      <c r="Q50" s="68">
        <f t="shared" ref="Q50:Q57" si="24">R50-S50</f>
        <v>0</v>
      </c>
      <c r="R50" s="68"/>
      <c r="S50" s="68"/>
      <c r="T50" s="33"/>
      <c r="U50" s="33">
        <f t="shared" ref="U50:U57" si="25">G50+K50+L50+M50+Q50-T50</f>
        <v>1.02</v>
      </c>
      <c r="V50" s="69" t="s">
        <v>3760</v>
      </c>
      <c r="W50" s="56"/>
    </row>
    <row r="51" s="1" customFormat="1" ht="26.25" customHeight="1" spans="1:23">
      <c r="A51" s="16" t="s">
        <v>3838</v>
      </c>
      <c r="B51" s="23" t="s">
        <v>1418</v>
      </c>
      <c r="C51" s="24"/>
      <c r="D51" s="24"/>
      <c r="E51" s="25"/>
      <c r="F51" s="26"/>
      <c r="G51" s="27">
        <f t="shared" ref="G51:U51" si="26">SUM(G52:G57)</f>
        <v>119.4</v>
      </c>
      <c r="H51" s="27">
        <f t="shared" si="26"/>
        <v>119.4</v>
      </c>
      <c r="I51" s="27">
        <f t="shared" si="26"/>
        <v>0</v>
      </c>
      <c r="J51" s="27">
        <f t="shared" si="26"/>
        <v>0</v>
      </c>
      <c r="K51" s="27">
        <f t="shared" si="26"/>
        <v>0</v>
      </c>
      <c r="L51" s="27">
        <f t="shared" si="26"/>
        <v>0</v>
      </c>
      <c r="M51" s="27">
        <f t="shared" si="26"/>
        <v>549</v>
      </c>
      <c r="N51" s="27">
        <f t="shared" si="26"/>
        <v>0</v>
      </c>
      <c r="O51" s="27">
        <f t="shared" si="26"/>
        <v>549</v>
      </c>
      <c r="P51" s="27">
        <f t="shared" si="26"/>
        <v>0</v>
      </c>
      <c r="Q51" s="27">
        <f t="shared" si="26"/>
        <v>0</v>
      </c>
      <c r="R51" s="27">
        <f t="shared" si="26"/>
        <v>0</v>
      </c>
      <c r="S51" s="27">
        <f t="shared" si="26"/>
        <v>0</v>
      </c>
      <c r="T51" s="27">
        <f t="shared" si="26"/>
        <v>0</v>
      </c>
      <c r="U51" s="27">
        <f t="shared" si="26"/>
        <v>668.4</v>
      </c>
      <c r="V51" s="67">
        <f>SUM(V52)</f>
        <v>0</v>
      </c>
      <c r="W51" s="56"/>
    </row>
    <row r="52" s="1" customFormat="1" ht="26.25" customHeight="1" spans="1:23">
      <c r="A52" s="28" t="s">
        <v>3839</v>
      </c>
      <c r="B52" s="29" t="s">
        <v>2218</v>
      </c>
      <c r="C52" s="30" t="s">
        <v>2219</v>
      </c>
      <c r="D52" s="31" t="s">
        <v>2220</v>
      </c>
      <c r="E52" s="37" t="s">
        <v>3840</v>
      </c>
      <c r="F52" s="48" t="s">
        <v>2939</v>
      </c>
      <c r="G52" s="33">
        <f t="shared" si="22"/>
        <v>119.4</v>
      </c>
      <c r="H52" s="33">
        <v>119.4</v>
      </c>
      <c r="I52" s="33"/>
      <c r="J52" s="33"/>
      <c r="K52" s="33"/>
      <c r="L52" s="33"/>
      <c r="M52" s="54">
        <f t="shared" si="23"/>
        <v>0</v>
      </c>
      <c r="N52" s="54"/>
      <c r="O52" s="54"/>
      <c r="P52" s="54"/>
      <c r="Q52" s="68">
        <f t="shared" si="24"/>
        <v>0</v>
      </c>
      <c r="R52" s="68"/>
      <c r="S52" s="68"/>
      <c r="T52" s="33"/>
      <c r="U52" s="33">
        <f t="shared" si="25"/>
        <v>119.4</v>
      </c>
      <c r="V52" s="69" t="s">
        <v>3760</v>
      </c>
      <c r="W52" s="56"/>
    </row>
    <row r="53" s="1" customFormat="1" ht="26.25" customHeight="1" spans="1:23">
      <c r="A53" s="28" t="s">
        <v>3839</v>
      </c>
      <c r="B53" s="29" t="s">
        <v>2218</v>
      </c>
      <c r="C53" s="49" t="s">
        <v>2219</v>
      </c>
      <c r="D53" s="50" t="s">
        <v>2220</v>
      </c>
      <c r="E53" s="51" t="s">
        <v>3840</v>
      </c>
      <c r="F53" s="35" t="s">
        <v>2939</v>
      </c>
      <c r="G53" s="33">
        <f t="shared" si="22"/>
        <v>0</v>
      </c>
      <c r="H53" s="33"/>
      <c r="I53" s="33"/>
      <c r="J53" s="33"/>
      <c r="K53" s="33"/>
      <c r="L53" s="33"/>
      <c r="M53" s="54">
        <f t="shared" si="23"/>
        <v>81</v>
      </c>
      <c r="N53" s="54"/>
      <c r="O53" s="54">
        <v>81</v>
      </c>
      <c r="P53" s="54"/>
      <c r="Q53" s="68">
        <f t="shared" si="24"/>
        <v>0</v>
      </c>
      <c r="R53" s="68"/>
      <c r="S53" s="68"/>
      <c r="T53" s="33"/>
      <c r="U53" s="54">
        <f t="shared" si="25"/>
        <v>81</v>
      </c>
      <c r="V53" s="74" t="s">
        <v>614</v>
      </c>
      <c r="W53" s="56"/>
    </row>
    <row r="54" s="1" customFormat="1" ht="26.25" customHeight="1" spans="1:23">
      <c r="A54" s="28" t="s">
        <v>3839</v>
      </c>
      <c r="B54" s="29" t="s">
        <v>2218</v>
      </c>
      <c r="C54" s="49" t="s">
        <v>2219</v>
      </c>
      <c r="D54" s="50" t="s">
        <v>2220</v>
      </c>
      <c r="E54" s="51" t="s">
        <v>3840</v>
      </c>
      <c r="F54" s="35" t="s">
        <v>2939</v>
      </c>
      <c r="G54" s="33">
        <f t="shared" si="22"/>
        <v>0</v>
      </c>
      <c r="H54" s="33"/>
      <c r="I54" s="33"/>
      <c r="J54" s="33"/>
      <c r="K54" s="33"/>
      <c r="L54" s="33"/>
      <c r="M54" s="54">
        <f t="shared" si="23"/>
        <v>24</v>
      </c>
      <c r="N54" s="54"/>
      <c r="O54" s="54">
        <v>24</v>
      </c>
      <c r="P54" s="54"/>
      <c r="Q54" s="68">
        <f t="shared" si="24"/>
        <v>0</v>
      </c>
      <c r="R54" s="68"/>
      <c r="S54" s="68"/>
      <c r="T54" s="33"/>
      <c r="U54" s="54">
        <f t="shared" si="25"/>
        <v>24</v>
      </c>
      <c r="V54" s="74" t="s">
        <v>713</v>
      </c>
      <c r="W54" s="56"/>
    </row>
    <row r="55" s="1" customFormat="1" ht="26.25" customHeight="1" spans="1:23">
      <c r="A55" s="28" t="s">
        <v>3839</v>
      </c>
      <c r="B55" s="29" t="s">
        <v>2218</v>
      </c>
      <c r="C55" s="49" t="s">
        <v>2908</v>
      </c>
      <c r="D55" s="50" t="s">
        <v>2909</v>
      </c>
      <c r="E55" s="51" t="s">
        <v>3841</v>
      </c>
      <c r="F55" s="35" t="s">
        <v>3842</v>
      </c>
      <c r="G55" s="33">
        <f t="shared" si="22"/>
        <v>0</v>
      </c>
      <c r="H55" s="33"/>
      <c r="I55" s="33"/>
      <c r="J55" s="33"/>
      <c r="K55" s="33"/>
      <c r="L55" s="33"/>
      <c r="M55" s="54">
        <f t="shared" si="23"/>
        <v>60</v>
      </c>
      <c r="N55" s="54"/>
      <c r="O55" s="54">
        <v>60</v>
      </c>
      <c r="P55" s="54"/>
      <c r="Q55" s="68">
        <f t="shared" si="24"/>
        <v>0</v>
      </c>
      <c r="R55" s="68"/>
      <c r="S55" s="68"/>
      <c r="T55" s="33"/>
      <c r="U55" s="54">
        <f t="shared" si="25"/>
        <v>60</v>
      </c>
      <c r="V55" s="74" t="s">
        <v>567</v>
      </c>
      <c r="W55" s="56"/>
    </row>
    <row r="56" s="1" customFormat="1" ht="26.25" customHeight="1" spans="1:23">
      <c r="A56" s="28" t="s">
        <v>3839</v>
      </c>
      <c r="B56" s="29" t="s">
        <v>2218</v>
      </c>
      <c r="C56" s="49" t="s">
        <v>2908</v>
      </c>
      <c r="D56" s="50" t="s">
        <v>2909</v>
      </c>
      <c r="E56" s="51" t="s">
        <v>3841</v>
      </c>
      <c r="F56" s="35" t="s">
        <v>3842</v>
      </c>
      <c r="G56" s="33">
        <f t="shared" si="22"/>
        <v>0</v>
      </c>
      <c r="H56" s="33"/>
      <c r="I56" s="33"/>
      <c r="J56" s="33"/>
      <c r="K56" s="33"/>
      <c r="L56" s="33"/>
      <c r="M56" s="54">
        <f t="shared" si="23"/>
        <v>116</v>
      </c>
      <c r="N56" s="54"/>
      <c r="O56" s="54">
        <v>116</v>
      </c>
      <c r="P56" s="54"/>
      <c r="Q56" s="68">
        <f t="shared" si="24"/>
        <v>0</v>
      </c>
      <c r="R56" s="68"/>
      <c r="S56" s="68"/>
      <c r="T56" s="33"/>
      <c r="U56" s="54">
        <f t="shared" si="25"/>
        <v>116</v>
      </c>
      <c r="V56" s="74" t="s">
        <v>685</v>
      </c>
      <c r="W56" s="56"/>
    </row>
    <row r="57" s="1" customFormat="1" ht="26.25" customHeight="1" spans="1:23">
      <c r="A57" s="28" t="s">
        <v>3839</v>
      </c>
      <c r="B57" s="29" t="s">
        <v>2218</v>
      </c>
      <c r="C57" s="49" t="s">
        <v>2908</v>
      </c>
      <c r="D57" s="50" t="s">
        <v>2909</v>
      </c>
      <c r="E57" s="51" t="s">
        <v>3841</v>
      </c>
      <c r="F57" s="35" t="s">
        <v>3842</v>
      </c>
      <c r="G57" s="33">
        <f t="shared" si="22"/>
        <v>0</v>
      </c>
      <c r="H57" s="33"/>
      <c r="I57" s="33"/>
      <c r="J57" s="33"/>
      <c r="K57" s="33"/>
      <c r="L57" s="33"/>
      <c r="M57" s="54">
        <f t="shared" si="23"/>
        <v>268</v>
      </c>
      <c r="N57" s="54"/>
      <c r="O57" s="54">
        <v>268</v>
      </c>
      <c r="P57" s="54"/>
      <c r="Q57" s="68">
        <f t="shared" si="24"/>
        <v>0</v>
      </c>
      <c r="R57" s="68"/>
      <c r="S57" s="68"/>
      <c r="T57" s="33"/>
      <c r="U57" s="54">
        <f t="shared" si="25"/>
        <v>268</v>
      </c>
      <c r="V57" s="74" t="s">
        <v>573</v>
      </c>
      <c r="W57" s="56"/>
    </row>
    <row r="58" s="1" customFormat="1" ht="26.25" customHeight="1" spans="1:23">
      <c r="A58" s="16" t="s">
        <v>3843</v>
      </c>
      <c r="B58" s="23" t="s">
        <v>1419</v>
      </c>
      <c r="C58" s="24"/>
      <c r="D58" s="24"/>
      <c r="E58" s="25"/>
      <c r="F58" s="26"/>
      <c r="G58" s="27">
        <f t="shared" ref="G58:Z58" si="27">SUM(G59:G63)</f>
        <v>78.03</v>
      </c>
      <c r="H58" s="27">
        <f t="shared" si="27"/>
        <v>9.36</v>
      </c>
      <c r="I58" s="27">
        <f t="shared" si="27"/>
        <v>0</v>
      </c>
      <c r="J58" s="27">
        <f t="shared" si="27"/>
        <v>68.67</v>
      </c>
      <c r="K58" s="27">
        <f t="shared" si="27"/>
        <v>0</v>
      </c>
      <c r="L58" s="27">
        <f t="shared" si="27"/>
        <v>0</v>
      </c>
      <c r="M58" s="27">
        <f t="shared" si="27"/>
        <v>11.53</v>
      </c>
      <c r="N58" s="27">
        <f t="shared" si="27"/>
        <v>-68.67</v>
      </c>
      <c r="O58" s="27">
        <f t="shared" si="27"/>
        <v>80.2</v>
      </c>
      <c r="P58" s="27">
        <f t="shared" si="27"/>
        <v>0</v>
      </c>
      <c r="Q58" s="27">
        <f t="shared" si="27"/>
        <v>0</v>
      </c>
      <c r="R58" s="27">
        <f t="shared" si="27"/>
        <v>0</v>
      </c>
      <c r="S58" s="27">
        <f t="shared" si="27"/>
        <v>0</v>
      </c>
      <c r="T58" s="27">
        <f t="shared" si="27"/>
        <v>0</v>
      </c>
      <c r="U58" s="27">
        <f t="shared" si="27"/>
        <v>89.56</v>
      </c>
      <c r="V58" s="67">
        <f t="shared" si="27"/>
        <v>0</v>
      </c>
      <c r="W58" s="56"/>
    </row>
    <row r="59" s="1" customFormat="1" ht="26.25" customHeight="1" spans="1:23">
      <c r="A59" s="28" t="s">
        <v>3844</v>
      </c>
      <c r="B59" s="29" t="s">
        <v>2232</v>
      </c>
      <c r="C59" s="30" t="s">
        <v>1785</v>
      </c>
      <c r="D59" s="39" t="s">
        <v>1786</v>
      </c>
      <c r="E59" s="51" t="s">
        <v>3845</v>
      </c>
      <c r="F59" s="35" t="s">
        <v>3016</v>
      </c>
      <c r="G59" s="33">
        <f t="shared" ref="G59:G63" si="28">SUM(H59:J59)</f>
        <v>0</v>
      </c>
      <c r="H59" s="33"/>
      <c r="I59" s="33"/>
      <c r="J59" s="33"/>
      <c r="K59" s="33"/>
      <c r="L59" s="33"/>
      <c r="M59" s="54">
        <f t="shared" ref="M59:M63" si="29">N59+O59-P59</f>
        <v>1.8</v>
      </c>
      <c r="N59" s="54"/>
      <c r="O59" s="54">
        <v>1.8</v>
      </c>
      <c r="P59" s="54"/>
      <c r="Q59" s="68">
        <f t="shared" ref="Q59:Q63" si="30">R59-S59</f>
        <v>0</v>
      </c>
      <c r="R59" s="68"/>
      <c r="S59" s="68"/>
      <c r="T59" s="33"/>
      <c r="U59" s="54">
        <f t="shared" ref="U59:U63" si="31">G59+K59+L59+M59+Q59-T59</f>
        <v>1.8</v>
      </c>
      <c r="V59" s="75" t="s">
        <v>481</v>
      </c>
      <c r="W59" s="56"/>
    </row>
    <row r="60" s="1" customFormat="1" ht="26.25" customHeight="1" spans="1:23">
      <c r="A60" s="28" t="s">
        <v>3844</v>
      </c>
      <c r="B60" s="29" t="s">
        <v>2232</v>
      </c>
      <c r="C60" s="30" t="s">
        <v>1785</v>
      </c>
      <c r="D60" s="39" t="s">
        <v>1786</v>
      </c>
      <c r="E60" s="51" t="s">
        <v>3845</v>
      </c>
      <c r="F60" s="35" t="s">
        <v>3016</v>
      </c>
      <c r="G60" s="33">
        <f t="shared" si="28"/>
        <v>0</v>
      </c>
      <c r="H60" s="33"/>
      <c r="I60" s="33"/>
      <c r="J60" s="33"/>
      <c r="K60" s="33"/>
      <c r="L60" s="33"/>
      <c r="M60" s="54">
        <f t="shared" si="29"/>
        <v>1</v>
      </c>
      <c r="N60" s="54"/>
      <c r="O60" s="54">
        <v>1</v>
      </c>
      <c r="P60" s="54"/>
      <c r="Q60" s="68">
        <f t="shared" si="30"/>
        <v>0</v>
      </c>
      <c r="R60" s="68"/>
      <c r="S60" s="68"/>
      <c r="T60" s="33"/>
      <c r="U60" s="54">
        <f t="shared" si="31"/>
        <v>1</v>
      </c>
      <c r="V60" s="75" t="s">
        <v>643</v>
      </c>
      <c r="W60" s="56"/>
    </row>
    <row r="61" s="1" customFormat="1" ht="26.25" customHeight="1" spans="1:23">
      <c r="A61" s="28" t="s">
        <v>3844</v>
      </c>
      <c r="B61" s="29" t="s">
        <v>2232</v>
      </c>
      <c r="C61" s="30" t="s">
        <v>1785</v>
      </c>
      <c r="D61" s="52" t="s">
        <v>1786</v>
      </c>
      <c r="E61" s="37" t="s">
        <v>3846</v>
      </c>
      <c r="F61" s="48" t="s">
        <v>1023</v>
      </c>
      <c r="G61" s="33">
        <f t="shared" si="28"/>
        <v>9.36</v>
      </c>
      <c r="H61" s="33">
        <v>9.36</v>
      </c>
      <c r="I61" s="33"/>
      <c r="J61" s="33"/>
      <c r="K61" s="33"/>
      <c r="L61" s="33"/>
      <c r="M61" s="54">
        <f t="shared" si="29"/>
        <v>0</v>
      </c>
      <c r="N61" s="54"/>
      <c r="O61" s="54"/>
      <c r="P61" s="54"/>
      <c r="Q61" s="68">
        <f t="shared" si="30"/>
        <v>0</v>
      </c>
      <c r="R61" s="68"/>
      <c r="S61" s="68"/>
      <c r="T61" s="33"/>
      <c r="U61" s="33">
        <f t="shared" si="31"/>
        <v>9.36</v>
      </c>
      <c r="V61" s="69" t="s">
        <v>3760</v>
      </c>
      <c r="W61" s="56"/>
    </row>
    <row r="62" s="1" customFormat="1" ht="26.25" customHeight="1" spans="1:23">
      <c r="A62" s="28" t="s">
        <v>3844</v>
      </c>
      <c r="B62" s="29" t="s">
        <v>2232</v>
      </c>
      <c r="C62" s="30" t="s">
        <v>1785</v>
      </c>
      <c r="D62" s="39" t="s">
        <v>1786</v>
      </c>
      <c r="E62" s="37" t="s">
        <v>3847</v>
      </c>
      <c r="F62" s="48" t="s">
        <v>3029</v>
      </c>
      <c r="G62" s="33">
        <f t="shared" si="28"/>
        <v>68.67</v>
      </c>
      <c r="H62" s="33"/>
      <c r="I62" s="33"/>
      <c r="J62" s="33">
        <v>68.67</v>
      </c>
      <c r="K62" s="33"/>
      <c r="L62" s="33"/>
      <c r="M62" s="54">
        <f t="shared" si="29"/>
        <v>0.230000000000004</v>
      </c>
      <c r="N62" s="54">
        <v>-68.67</v>
      </c>
      <c r="O62" s="54">
        <v>68.9</v>
      </c>
      <c r="P62" s="54"/>
      <c r="Q62" s="68">
        <f t="shared" si="30"/>
        <v>0</v>
      </c>
      <c r="R62" s="68"/>
      <c r="S62" s="68"/>
      <c r="T62" s="33"/>
      <c r="U62" s="54">
        <f t="shared" si="31"/>
        <v>68.9</v>
      </c>
      <c r="V62" s="75" t="s">
        <v>481</v>
      </c>
      <c r="W62" s="56"/>
    </row>
    <row r="63" s="1" customFormat="1" ht="26.25" customHeight="1" spans="1:23">
      <c r="A63" s="28" t="s">
        <v>3844</v>
      </c>
      <c r="B63" s="29" t="s">
        <v>2232</v>
      </c>
      <c r="C63" s="30" t="s">
        <v>1785</v>
      </c>
      <c r="D63" s="39" t="s">
        <v>1786</v>
      </c>
      <c r="E63" s="37" t="s">
        <v>3847</v>
      </c>
      <c r="F63" s="32" t="s">
        <v>3029</v>
      </c>
      <c r="G63" s="33">
        <f t="shared" si="28"/>
        <v>0</v>
      </c>
      <c r="H63" s="33"/>
      <c r="I63" s="33"/>
      <c r="J63" s="33"/>
      <c r="K63" s="33"/>
      <c r="L63" s="33"/>
      <c r="M63" s="54">
        <f t="shared" si="29"/>
        <v>8.5</v>
      </c>
      <c r="N63" s="54"/>
      <c r="O63" s="54">
        <v>8.5</v>
      </c>
      <c r="P63" s="54"/>
      <c r="Q63" s="68">
        <f t="shared" si="30"/>
        <v>0</v>
      </c>
      <c r="R63" s="68"/>
      <c r="S63" s="68"/>
      <c r="T63" s="33"/>
      <c r="U63" s="54">
        <f t="shared" si="31"/>
        <v>8.5</v>
      </c>
      <c r="V63" s="75" t="s">
        <v>643</v>
      </c>
      <c r="W63" s="56"/>
    </row>
    <row r="64" s="1" customFormat="1" ht="26.25" customHeight="1" spans="1:23">
      <c r="A64" s="16" t="s">
        <v>3848</v>
      </c>
      <c r="B64" s="23" t="s">
        <v>1420</v>
      </c>
      <c r="C64" s="24"/>
      <c r="D64" s="24"/>
      <c r="E64" s="25"/>
      <c r="F64" s="26"/>
      <c r="G64" s="27">
        <f t="shared" ref="G64:Z64" si="32">SUM(G65:G69)</f>
        <v>13</v>
      </c>
      <c r="H64" s="27">
        <f t="shared" si="32"/>
        <v>1.56</v>
      </c>
      <c r="I64" s="27">
        <f t="shared" si="32"/>
        <v>0</v>
      </c>
      <c r="J64" s="27">
        <f t="shared" si="32"/>
        <v>11.44</v>
      </c>
      <c r="K64" s="27">
        <f t="shared" si="32"/>
        <v>0</v>
      </c>
      <c r="L64" s="27">
        <f t="shared" si="32"/>
        <v>0</v>
      </c>
      <c r="M64" s="27">
        <f t="shared" si="32"/>
        <v>7.86</v>
      </c>
      <c r="N64" s="27">
        <f t="shared" si="32"/>
        <v>-11.44</v>
      </c>
      <c r="O64" s="27">
        <f t="shared" si="32"/>
        <v>19.3</v>
      </c>
      <c r="P64" s="27">
        <f t="shared" si="32"/>
        <v>0</v>
      </c>
      <c r="Q64" s="27">
        <f t="shared" si="32"/>
        <v>0</v>
      </c>
      <c r="R64" s="27">
        <f t="shared" si="32"/>
        <v>0</v>
      </c>
      <c r="S64" s="27">
        <f t="shared" si="32"/>
        <v>0</v>
      </c>
      <c r="T64" s="27">
        <f t="shared" si="32"/>
        <v>0</v>
      </c>
      <c r="U64" s="27">
        <f t="shared" si="32"/>
        <v>20.86</v>
      </c>
      <c r="V64" s="67">
        <f t="shared" si="32"/>
        <v>0</v>
      </c>
      <c r="W64" s="56"/>
    </row>
    <row r="65" s="1" customFormat="1" ht="26.25" customHeight="1" spans="1:23">
      <c r="A65" s="28" t="s">
        <v>3849</v>
      </c>
      <c r="B65" s="29" t="s">
        <v>2242</v>
      </c>
      <c r="C65" s="30" t="s">
        <v>1857</v>
      </c>
      <c r="D65" s="39" t="s">
        <v>1858</v>
      </c>
      <c r="E65" s="51" t="s">
        <v>3850</v>
      </c>
      <c r="F65" s="35" t="s">
        <v>3016</v>
      </c>
      <c r="G65" s="33">
        <f t="shared" ref="G65:G69" si="33">SUM(H65:J65)</f>
        <v>0</v>
      </c>
      <c r="H65" s="33"/>
      <c r="I65" s="33"/>
      <c r="J65" s="33"/>
      <c r="K65" s="33"/>
      <c r="L65" s="33"/>
      <c r="M65" s="54">
        <f t="shared" ref="M65:M69" si="34">N65+O65-P65</f>
        <v>0.3</v>
      </c>
      <c r="N65" s="54"/>
      <c r="O65" s="54">
        <v>0.3</v>
      </c>
      <c r="P65" s="54"/>
      <c r="Q65" s="68">
        <f t="shared" ref="Q65:Q69" si="35">R65-S65</f>
        <v>0</v>
      </c>
      <c r="R65" s="68"/>
      <c r="S65" s="68"/>
      <c r="T65" s="33"/>
      <c r="U65" s="54">
        <f t="shared" ref="U65:U69" si="36">G65+K65+L65+M65+Q65-T65</f>
        <v>0.3</v>
      </c>
      <c r="V65" s="75" t="s">
        <v>481</v>
      </c>
      <c r="W65" s="56"/>
    </row>
    <row r="66" s="1" customFormat="1" ht="26.25" customHeight="1" spans="1:23">
      <c r="A66" s="28" t="s">
        <v>3849</v>
      </c>
      <c r="B66" s="29" t="s">
        <v>2242</v>
      </c>
      <c r="C66" s="30" t="s">
        <v>1857</v>
      </c>
      <c r="D66" s="39" t="s">
        <v>1858</v>
      </c>
      <c r="E66" s="51" t="s">
        <v>3850</v>
      </c>
      <c r="F66" s="35" t="s">
        <v>3016</v>
      </c>
      <c r="G66" s="33">
        <f t="shared" si="33"/>
        <v>0</v>
      </c>
      <c r="H66" s="33"/>
      <c r="I66" s="33"/>
      <c r="J66" s="33"/>
      <c r="K66" s="33"/>
      <c r="L66" s="33"/>
      <c r="M66" s="54">
        <f t="shared" si="34"/>
        <v>1</v>
      </c>
      <c r="N66" s="54"/>
      <c r="O66" s="54">
        <v>1</v>
      </c>
      <c r="P66" s="54"/>
      <c r="Q66" s="68">
        <f t="shared" si="35"/>
        <v>0</v>
      </c>
      <c r="R66" s="68"/>
      <c r="S66" s="68"/>
      <c r="T66" s="33"/>
      <c r="U66" s="54">
        <f t="shared" si="36"/>
        <v>1</v>
      </c>
      <c r="V66" s="75" t="s">
        <v>643</v>
      </c>
      <c r="W66" s="56"/>
    </row>
    <row r="67" s="1" customFormat="1" ht="26.25" customHeight="1" spans="1:23">
      <c r="A67" s="28" t="s">
        <v>3849</v>
      </c>
      <c r="B67" s="29" t="s">
        <v>2242</v>
      </c>
      <c r="C67" s="30" t="s">
        <v>1857</v>
      </c>
      <c r="D67" s="52" t="s">
        <v>1858</v>
      </c>
      <c r="E67" s="37" t="s">
        <v>3851</v>
      </c>
      <c r="F67" s="48" t="s">
        <v>1023</v>
      </c>
      <c r="G67" s="33">
        <f t="shared" si="33"/>
        <v>1.56</v>
      </c>
      <c r="H67" s="33">
        <v>1.56</v>
      </c>
      <c r="I67" s="33"/>
      <c r="J67" s="33"/>
      <c r="K67" s="33"/>
      <c r="L67" s="33"/>
      <c r="M67" s="54">
        <f t="shared" si="34"/>
        <v>0</v>
      </c>
      <c r="N67" s="54"/>
      <c r="O67" s="54"/>
      <c r="P67" s="54"/>
      <c r="Q67" s="68">
        <f t="shared" si="35"/>
        <v>0</v>
      </c>
      <c r="R67" s="68"/>
      <c r="S67" s="68"/>
      <c r="T67" s="33"/>
      <c r="U67" s="33">
        <f t="shared" si="36"/>
        <v>1.56</v>
      </c>
      <c r="V67" s="69" t="s">
        <v>3760</v>
      </c>
      <c r="W67" s="56"/>
    </row>
    <row r="68" s="1" customFormat="1" ht="26.25" customHeight="1" spans="1:23">
      <c r="A68" s="28" t="s">
        <v>3849</v>
      </c>
      <c r="B68" s="29" t="s">
        <v>2242</v>
      </c>
      <c r="C68" s="30" t="s">
        <v>1857</v>
      </c>
      <c r="D68" s="39" t="s">
        <v>1858</v>
      </c>
      <c r="E68" s="37" t="s">
        <v>3852</v>
      </c>
      <c r="F68" s="48" t="s">
        <v>3029</v>
      </c>
      <c r="G68" s="33">
        <f t="shared" si="33"/>
        <v>11.44</v>
      </c>
      <c r="H68" s="33"/>
      <c r="I68" s="33"/>
      <c r="J68" s="33">
        <v>11.44</v>
      </c>
      <c r="K68" s="33"/>
      <c r="L68" s="33"/>
      <c r="M68" s="54">
        <f t="shared" si="34"/>
        <v>0.0600000000000005</v>
      </c>
      <c r="N68" s="54">
        <v>-11.44</v>
      </c>
      <c r="O68" s="54">
        <v>11.5</v>
      </c>
      <c r="P68" s="54"/>
      <c r="Q68" s="68">
        <f t="shared" si="35"/>
        <v>0</v>
      </c>
      <c r="R68" s="68"/>
      <c r="S68" s="68"/>
      <c r="T68" s="33"/>
      <c r="U68" s="54">
        <f t="shared" si="36"/>
        <v>11.5</v>
      </c>
      <c r="V68" s="75" t="s">
        <v>481</v>
      </c>
      <c r="W68" s="56"/>
    </row>
    <row r="69" s="1" customFormat="1" ht="26.25" customHeight="1" spans="1:23">
      <c r="A69" s="28" t="s">
        <v>3849</v>
      </c>
      <c r="B69" s="29" t="s">
        <v>2242</v>
      </c>
      <c r="C69" s="30" t="s">
        <v>1857</v>
      </c>
      <c r="D69" s="39" t="s">
        <v>1858</v>
      </c>
      <c r="E69" s="37" t="s">
        <v>3852</v>
      </c>
      <c r="F69" s="32" t="s">
        <v>3029</v>
      </c>
      <c r="G69" s="33">
        <f t="shared" si="33"/>
        <v>0</v>
      </c>
      <c r="H69" s="33"/>
      <c r="I69" s="33"/>
      <c r="J69" s="33"/>
      <c r="K69" s="33"/>
      <c r="L69" s="33"/>
      <c r="M69" s="54">
        <f t="shared" si="34"/>
        <v>6.5</v>
      </c>
      <c r="N69" s="54"/>
      <c r="O69" s="54">
        <v>6.5</v>
      </c>
      <c r="P69" s="54"/>
      <c r="Q69" s="68">
        <f t="shared" si="35"/>
        <v>0</v>
      </c>
      <c r="R69" s="68"/>
      <c r="S69" s="68"/>
      <c r="T69" s="33"/>
      <c r="U69" s="54">
        <f t="shared" si="36"/>
        <v>6.5</v>
      </c>
      <c r="V69" s="75" t="s">
        <v>643</v>
      </c>
      <c r="W69" s="56"/>
    </row>
    <row r="70" s="1" customFormat="1" ht="26.25" customHeight="1" spans="1:23">
      <c r="A70" s="16" t="s">
        <v>3853</v>
      </c>
      <c r="B70" s="23" t="s">
        <v>1421</v>
      </c>
      <c r="C70" s="24"/>
      <c r="D70" s="24"/>
      <c r="E70" s="25"/>
      <c r="F70" s="26"/>
      <c r="G70" s="27">
        <f t="shared" ref="G70:Z70" si="37">SUM(G71:G75)</f>
        <v>49.66</v>
      </c>
      <c r="H70" s="27">
        <f t="shared" si="37"/>
        <v>5.96</v>
      </c>
      <c r="I70" s="27">
        <f t="shared" si="37"/>
        <v>0</v>
      </c>
      <c r="J70" s="27">
        <f t="shared" si="37"/>
        <v>43.7</v>
      </c>
      <c r="K70" s="27">
        <f t="shared" si="37"/>
        <v>0</v>
      </c>
      <c r="L70" s="27">
        <f t="shared" si="37"/>
        <v>0</v>
      </c>
      <c r="M70" s="27">
        <f t="shared" si="37"/>
        <v>3.65</v>
      </c>
      <c r="N70" s="27">
        <f t="shared" si="37"/>
        <v>-43.7</v>
      </c>
      <c r="O70" s="27">
        <f t="shared" si="37"/>
        <v>47.35</v>
      </c>
      <c r="P70" s="27">
        <f t="shared" si="37"/>
        <v>0</v>
      </c>
      <c r="Q70" s="27">
        <f t="shared" si="37"/>
        <v>0</v>
      </c>
      <c r="R70" s="27">
        <f t="shared" si="37"/>
        <v>0</v>
      </c>
      <c r="S70" s="27">
        <f t="shared" si="37"/>
        <v>0</v>
      </c>
      <c r="T70" s="27">
        <f t="shared" si="37"/>
        <v>0</v>
      </c>
      <c r="U70" s="27">
        <f t="shared" si="37"/>
        <v>53.31</v>
      </c>
      <c r="V70" s="67">
        <f t="shared" si="37"/>
        <v>0</v>
      </c>
      <c r="W70" s="56"/>
    </row>
    <row r="71" s="1" customFormat="1" ht="26.25" customHeight="1" spans="1:23">
      <c r="A71" s="28" t="s">
        <v>3854</v>
      </c>
      <c r="B71" s="29" t="s">
        <v>2252</v>
      </c>
      <c r="C71" s="30" t="s">
        <v>1857</v>
      </c>
      <c r="D71" s="39" t="s">
        <v>1858</v>
      </c>
      <c r="E71" s="51" t="s">
        <v>3855</v>
      </c>
      <c r="F71" s="35" t="s">
        <v>3016</v>
      </c>
      <c r="G71" s="33">
        <f t="shared" ref="G71:G75" si="38">SUM(H71:J71)</f>
        <v>0</v>
      </c>
      <c r="H71" s="33"/>
      <c r="I71" s="33"/>
      <c r="J71" s="33"/>
      <c r="K71" s="33"/>
      <c r="L71" s="33"/>
      <c r="M71" s="54">
        <f t="shared" ref="M71:M75" si="39">N71+O71-P71</f>
        <v>0.8</v>
      </c>
      <c r="N71" s="54"/>
      <c r="O71" s="54">
        <v>0.8</v>
      </c>
      <c r="P71" s="54"/>
      <c r="Q71" s="68">
        <f t="shared" ref="Q71:Q75" si="40">R71-S71</f>
        <v>0</v>
      </c>
      <c r="R71" s="68"/>
      <c r="S71" s="68"/>
      <c r="T71" s="33"/>
      <c r="U71" s="54">
        <f t="shared" ref="U71:U75" si="41">G71+K71+L71+M71+Q71-T71</f>
        <v>0.8</v>
      </c>
      <c r="V71" s="75" t="s">
        <v>481</v>
      </c>
      <c r="W71" s="56"/>
    </row>
    <row r="72" s="1" customFormat="1" ht="26.25" customHeight="1" spans="1:23">
      <c r="A72" s="28" t="s">
        <v>3854</v>
      </c>
      <c r="B72" s="29" t="s">
        <v>2252</v>
      </c>
      <c r="C72" s="30" t="s">
        <v>1857</v>
      </c>
      <c r="D72" s="39" t="s">
        <v>1858</v>
      </c>
      <c r="E72" s="51" t="s">
        <v>3855</v>
      </c>
      <c r="F72" s="35" t="s">
        <v>3016</v>
      </c>
      <c r="G72" s="33">
        <f t="shared" si="38"/>
        <v>0</v>
      </c>
      <c r="H72" s="33"/>
      <c r="I72" s="33"/>
      <c r="J72" s="33"/>
      <c r="K72" s="33"/>
      <c r="L72" s="33"/>
      <c r="M72" s="54">
        <f t="shared" si="39"/>
        <v>1</v>
      </c>
      <c r="N72" s="54"/>
      <c r="O72" s="54">
        <v>1</v>
      </c>
      <c r="P72" s="54"/>
      <c r="Q72" s="68">
        <f t="shared" si="40"/>
        <v>0</v>
      </c>
      <c r="R72" s="68"/>
      <c r="S72" s="68"/>
      <c r="T72" s="33"/>
      <c r="U72" s="54">
        <f t="shared" si="41"/>
        <v>1</v>
      </c>
      <c r="V72" s="75" t="s">
        <v>643</v>
      </c>
      <c r="W72" s="56"/>
    </row>
    <row r="73" s="1" customFormat="1" ht="26.25" customHeight="1" spans="1:23">
      <c r="A73" s="28" t="s">
        <v>3854</v>
      </c>
      <c r="B73" s="29" t="s">
        <v>2252</v>
      </c>
      <c r="C73" s="30" t="s">
        <v>1857</v>
      </c>
      <c r="D73" s="52" t="s">
        <v>1858</v>
      </c>
      <c r="E73" s="37" t="s">
        <v>3856</v>
      </c>
      <c r="F73" s="48" t="s">
        <v>1023</v>
      </c>
      <c r="G73" s="33">
        <f t="shared" si="38"/>
        <v>5.96</v>
      </c>
      <c r="H73" s="33">
        <v>5.96</v>
      </c>
      <c r="I73" s="33"/>
      <c r="J73" s="33"/>
      <c r="K73" s="33"/>
      <c r="L73" s="33"/>
      <c r="M73" s="54">
        <f t="shared" si="39"/>
        <v>0</v>
      </c>
      <c r="N73" s="54"/>
      <c r="O73" s="54"/>
      <c r="P73" s="54"/>
      <c r="Q73" s="68">
        <f t="shared" si="40"/>
        <v>0</v>
      </c>
      <c r="R73" s="68"/>
      <c r="S73" s="68"/>
      <c r="T73" s="33"/>
      <c r="U73" s="33">
        <f t="shared" si="41"/>
        <v>5.96</v>
      </c>
      <c r="V73" s="69" t="s">
        <v>3760</v>
      </c>
      <c r="W73" s="56"/>
    </row>
    <row r="74" s="1" customFormat="1" ht="26.25" customHeight="1" spans="1:23">
      <c r="A74" s="28" t="s">
        <v>3854</v>
      </c>
      <c r="B74" s="29" t="s">
        <v>2252</v>
      </c>
      <c r="C74" s="30" t="s">
        <v>1857</v>
      </c>
      <c r="D74" s="39" t="s">
        <v>1858</v>
      </c>
      <c r="E74" s="37" t="s">
        <v>3857</v>
      </c>
      <c r="F74" s="48" t="s">
        <v>3029</v>
      </c>
      <c r="G74" s="33">
        <f t="shared" si="38"/>
        <v>0</v>
      </c>
      <c r="H74" s="33"/>
      <c r="I74" s="33"/>
      <c r="J74" s="33"/>
      <c r="K74" s="33"/>
      <c r="L74" s="33"/>
      <c r="M74" s="54">
        <f t="shared" si="39"/>
        <v>1.55</v>
      </c>
      <c r="N74" s="54"/>
      <c r="O74" s="54">
        <v>1.55</v>
      </c>
      <c r="P74" s="54"/>
      <c r="Q74" s="68">
        <f t="shared" si="40"/>
        <v>0</v>
      </c>
      <c r="R74" s="68"/>
      <c r="S74" s="68"/>
      <c r="T74" s="33"/>
      <c r="U74" s="54">
        <f t="shared" si="41"/>
        <v>1.55</v>
      </c>
      <c r="V74" s="75" t="s">
        <v>643</v>
      </c>
      <c r="W74" s="56"/>
    </row>
    <row r="75" s="1" customFormat="1" ht="26.25" customHeight="1" spans="1:23">
      <c r="A75" s="28" t="s">
        <v>3854</v>
      </c>
      <c r="B75" s="29" t="s">
        <v>2252</v>
      </c>
      <c r="C75" s="30" t="s">
        <v>1857</v>
      </c>
      <c r="D75" s="39" t="s">
        <v>1858</v>
      </c>
      <c r="E75" s="37" t="s">
        <v>3857</v>
      </c>
      <c r="F75" s="48" t="s">
        <v>3029</v>
      </c>
      <c r="G75" s="33">
        <f t="shared" si="38"/>
        <v>43.7</v>
      </c>
      <c r="H75" s="33"/>
      <c r="I75" s="33"/>
      <c r="J75" s="33">
        <v>43.7</v>
      </c>
      <c r="K75" s="33"/>
      <c r="L75" s="33"/>
      <c r="M75" s="54">
        <f t="shared" si="39"/>
        <v>0.299999999999997</v>
      </c>
      <c r="N75" s="54">
        <v>-43.7</v>
      </c>
      <c r="O75" s="54">
        <v>44</v>
      </c>
      <c r="P75" s="54"/>
      <c r="Q75" s="68">
        <f t="shared" si="40"/>
        <v>0</v>
      </c>
      <c r="R75" s="68"/>
      <c r="S75" s="68"/>
      <c r="T75" s="33"/>
      <c r="U75" s="54">
        <f t="shared" si="41"/>
        <v>44</v>
      </c>
      <c r="V75" s="75" t="s">
        <v>481</v>
      </c>
      <c r="W75" s="56"/>
    </row>
    <row r="76" s="1" customFormat="1" ht="26.25" customHeight="1" spans="1:23">
      <c r="A76" s="16" t="s">
        <v>3858</v>
      </c>
      <c r="B76" s="23" t="s">
        <v>1422</v>
      </c>
      <c r="C76" s="24"/>
      <c r="D76" s="24"/>
      <c r="E76" s="25"/>
      <c r="F76" s="26"/>
      <c r="G76" s="27">
        <f t="shared" ref="G76:Z76" si="42">SUM(G77:G85)</f>
        <v>191.59</v>
      </c>
      <c r="H76" s="27">
        <f t="shared" si="42"/>
        <v>26.04</v>
      </c>
      <c r="I76" s="27">
        <f t="shared" si="42"/>
        <v>100</v>
      </c>
      <c r="J76" s="27">
        <f t="shared" si="42"/>
        <v>65.55</v>
      </c>
      <c r="K76" s="27">
        <f t="shared" si="42"/>
        <v>0</v>
      </c>
      <c r="L76" s="27">
        <f t="shared" si="42"/>
        <v>0</v>
      </c>
      <c r="M76" s="27">
        <f t="shared" si="42"/>
        <v>30.6</v>
      </c>
      <c r="N76" s="27">
        <f t="shared" si="42"/>
        <v>-65.55</v>
      </c>
      <c r="O76" s="27">
        <f t="shared" si="42"/>
        <v>96.15</v>
      </c>
      <c r="P76" s="27">
        <f t="shared" si="42"/>
        <v>0</v>
      </c>
      <c r="Q76" s="27">
        <f t="shared" si="42"/>
        <v>20</v>
      </c>
      <c r="R76" s="27">
        <f t="shared" si="42"/>
        <v>20</v>
      </c>
      <c r="S76" s="27">
        <f t="shared" si="42"/>
        <v>0</v>
      </c>
      <c r="T76" s="27">
        <f t="shared" si="42"/>
        <v>16.38</v>
      </c>
      <c r="U76" s="27">
        <f t="shared" si="42"/>
        <v>225.81</v>
      </c>
      <c r="V76" s="67">
        <f t="shared" si="42"/>
        <v>0</v>
      </c>
      <c r="W76" s="56"/>
    </row>
    <row r="77" s="1" customFormat="1" ht="26.25" customHeight="1" spans="1:23">
      <c r="A77" s="28" t="s">
        <v>3859</v>
      </c>
      <c r="B77" s="29" t="s">
        <v>2262</v>
      </c>
      <c r="C77" s="35" t="s">
        <v>2993</v>
      </c>
      <c r="D77" s="38" t="s">
        <v>2994</v>
      </c>
      <c r="E77" s="34" t="s">
        <v>3860</v>
      </c>
      <c r="F77" s="38" t="s">
        <v>3861</v>
      </c>
      <c r="G77" s="33">
        <f t="shared" ref="G77:G85" si="43">SUM(H77:J77)</f>
        <v>0</v>
      </c>
      <c r="H77" s="33"/>
      <c r="I77" s="33"/>
      <c r="J77" s="33"/>
      <c r="K77" s="33"/>
      <c r="L77" s="33"/>
      <c r="M77" s="54">
        <f t="shared" ref="M77:M85" si="44">N77+O77-P77</f>
        <v>0</v>
      </c>
      <c r="N77" s="54"/>
      <c r="O77" s="54"/>
      <c r="P77" s="54"/>
      <c r="Q77" s="68">
        <f t="shared" ref="Q77:Q85" si="45">R77-S77</f>
        <v>20</v>
      </c>
      <c r="R77" s="68">
        <v>20</v>
      </c>
      <c r="S77" s="68"/>
      <c r="T77" s="33"/>
      <c r="U77" s="68">
        <f t="shared" ref="U77:U85" si="46">G77+K77+L77+M77+Q77-T77</f>
        <v>20</v>
      </c>
      <c r="V77" s="91" t="s">
        <v>3083</v>
      </c>
      <c r="W77" s="56"/>
    </row>
    <row r="78" s="1" customFormat="1" ht="26.25" customHeight="1" spans="1:23">
      <c r="A78" s="28" t="s">
        <v>3859</v>
      </c>
      <c r="B78" s="29" t="s">
        <v>2262</v>
      </c>
      <c r="C78" s="30" t="s">
        <v>2993</v>
      </c>
      <c r="D78" s="52" t="s">
        <v>2994</v>
      </c>
      <c r="E78" s="37" t="s">
        <v>3862</v>
      </c>
      <c r="F78" s="32" t="s">
        <v>888</v>
      </c>
      <c r="G78" s="33">
        <f t="shared" si="43"/>
        <v>17.1</v>
      </c>
      <c r="H78" s="33">
        <v>17.1</v>
      </c>
      <c r="I78" s="33"/>
      <c r="J78" s="33"/>
      <c r="K78" s="33"/>
      <c r="L78" s="33"/>
      <c r="M78" s="54">
        <f t="shared" si="44"/>
        <v>0</v>
      </c>
      <c r="N78" s="54"/>
      <c r="O78" s="54"/>
      <c r="P78" s="54"/>
      <c r="Q78" s="68">
        <f t="shared" si="45"/>
        <v>0</v>
      </c>
      <c r="R78" s="68"/>
      <c r="S78" s="68"/>
      <c r="T78" s="33">
        <v>6.95</v>
      </c>
      <c r="U78" s="33">
        <f t="shared" si="46"/>
        <v>10.15</v>
      </c>
      <c r="V78" s="69" t="s">
        <v>3760</v>
      </c>
      <c r="W78" s="56"/>
    </row>
    <row r="79" s="1" customFormat="1" ht="26.25" customHeight="1" spans="1:23">
      <c r="A79" s="28" t="s">
        <v>3859</v>
      </c>
      <c r="B79" s="29" t="s">
        <v>2262</v>
      </c>
      <c r="C79" s="30" t="s">
        <v>2993</v>
      </c>
      <c r="D79" s="28" t="s">
        <v>2994</v>
      </c>
      <c r="E79" s="30" t="s">
        <v>3863</v>
      </c>
      <c r="F79" s="32" t="s">
        <v>1022</v>
      </c>
      <c r="G79" s="33">
        <f t="shared" si="43"/>
        <v>100</v>
      </c>
      <c r="H79" s="33"/>
      <c r="I79" s="33">
        <v>100</v>
      </c>
      <c r="J79" s="33"/>
      <c r="K79" s="33"/>
      <c r="L79" s="33"/>
      <c r="M79" s="54">
        <f t="shared" si="44"/>
        <v>0</v>
      </c>
      <c r="N79" s="54"/>
      <c r="O79" s="54"/>
      <c r="P79" s="54"/>
      <c r="Q79" s="68">
        <f t="shared" si="45"/>
        <v>0</v>
      </c>
      <c r="R79" s="68"/>
      <c r="S79" s="68"/>
      <c r="T79" s="73">
        <v>9.43</v>
      </c>
      <c r="U79" s="33">
        <f t="shared" si="46"/>
        <v>90.57</v>
      </c>
      <c r="V79" s="69" t="s">
        <v>3760</v>
      </c>
      <c r="W79" s="56"/>
    </row>
    <row r="80" s="1" customFormat="1" ht="26.25" customHeight="1" spans="1:23">
      <c r="A80" s="28" t="s">
        <v>3859</v>
      </c>
      <c r="B80" s="29" t="s">
        <v>2262</v>
      </c>
      <c r="C80" s="30" t="s">
        <v>1857</v>
      </c>
      <c r="D80" s="39" t="s">
        <v>1858</v>
      </c>
      <c r="E80" s="41" t="s">
        <v>3864</v>
      </c>
      <c r="F80" s="35" t="s">
        <v>3016</v>
      </c>
      <c r="G80" s="33">
        <f t="shared" si="43"/>
        <v>0</v>
      </c>
      <c r="H80" s="33"/>
      <c r="I80" s="33"/>
      <c r="J80" s="33"/>
      <c r="K80" s="33"/>
      <c r="L80" s="33"/>
      <c r="M80" s="54">
        <f t="shared" si="44"/>
        <v>1.1</v>
      </c>
      <c r="N80" s="54"/>
      <c r="O80" s="54">
        <v>1.1</v>
      </c>
      <c r="P80" s="54"/>
      <c r="Q80" s="68">
        <f t="shared" si="45"/>
        <v>0</v>
      </c>
      <c r="R80" s="68"/>
      <c r="S80" s="68"/>
      <c r="T80" s="33"/>
      <c r="U80" s="54">
        <f t="shared" si="46"/>
        <v>1.1</v>
      </c>
      <c r="V80" s="75" t="s">
        <v>481</v>
      </c>
      <c r="W80" s="56"/>
    </row>
    <row r="81" s="1" customFormat="1" ht="26.25" customHeight="1" spans="1:23">
      <c r="A81" s="28" t="s">
        <v>3859</v>
      </c>
      <c r="B81" s="29" t="s">
        <v>2262</v>
      </c>
      <c r="C81" s="30" t="s">
        <v>1857</v>
      </c>
      <c r="D81" s="39" t="s">
        <v>1858</v>
      </c>
      <c r="E81" s="41" t="s">
        <v>3865</v>
      </c>
      <c r="F81" s="35" t="s">
        <v>3018</v>
      </c>
      <c r="G81" s="33">
        <f t="shared" si="43"/>
        <v>0</v>
      </c>
      <c r="H81" s="33"/>
      <c r="I81" s="33"/>
      <c r="J81" s="33"/>
      <c r="K81" s="33"/>
      <c r="L81" s="33"/>
      <c r="M81" s="54">
        <f t="shared" si="44"/>
        <v>27</v>
      </c>
      <c r="N81" s="54"/>
      <c r="O81" s="54">
        <v>27</v>
      </c>
      <c r="P81" s="54"/>
      <c r="Q81" s="68">
        <f t="shared" si="45"/>
        <v>0</v>
      </c>
      <c r="R81" s="68"/>
      <c r="S81" s="68"/>
      <c r="T81" s="33"/>
      <c r="U81" s="54">
        <f t="shared" si="46"/>
        <v>27</v>
      </c>
      <c r="V81" s="75" t="s">
        <v>481</v>
      </c>
      <c r="W81" s="56"/>
    </row>
    <row r="82" s="1" customFormat="1" ht="26.25" customHeight="1" spans="1:23">
      <c r="A82" s="28" t="s">
        <v>3859</v>
      </c>
      <c r="B82" s="29" t="s">
        <v>2262</v>
      </c>
      <c r="C82" s="30" t="s">
        <v>1857</v>
      </c>
      <c r="D82" s="39" t="s">
        <v>1858</v>
      </c>
      <c r="E82" s="41" t="s">
        <v>3864</v>
      </c>
      <c r="F82" s="35" t="s">
        <v>3016</v>
      </c>
      <c r="G82" s="33">
        <f t="shared" si="43"/>
        <v>0</v>
      </c>
      <c r="H82" s="33"/>
      <c r="I82" s="33"/>
      <c r="J82" s="33"/>
      <c r="K82" s="33"/>
      <c r="L82" s="33"/>
      <c r="M82" s="54">
        <f t="shared" si="44"/>
        <v>1</v>
      </c>
      <c r="N82" s="54"/>
      <c r="O82" s="54">
        <v>1</v>
      </c>
      <c r="P82" s="54"/>
      <c r="Q82" s="68">
        <f t="shared" si="45"/>
        <v>0</v>
      </c>
      <c r="R82" s="68"/>
      <c r="S82" s="68"/>
      <c r="T82" s="33"/>
      <c r="U82" s="54">
        <f t="shared" si="46"/>
        <v>1</v>
      </c>
      <c r="V82" s="75" t="s">
        <v>643</v>
      </c>
      <c r="W82" s="56"/>
    </row>
    <row r="83" s="1" customFormat="1" ht="26.25" customHeight="1" spans="1:23">
      <c r="A83" s="28" t="s">
        <v>3859</v>
      </c>
      <c r="B83" s="29" t="s">
        <v>2262</v>
      </c>
      <c r="C83" s="30" t="s">
        <v>1857</v>
      </c>
      <c r="D83" s="39" t="s">
        <v>1858</v>
      </c>
      <c r="E83" s="37" t="s">
        <v>3866</v>
      </c>
      <c r="F83" s="48" t="s">
        <v>3029</v>
      </c>
      <c r="G83" s="33">
        <f t="shared" si="43"/>
        <v>65.55</v>
      </c>
      <c r="H83" s="33"/>
      <c r="I83" s="33"/>
      <c r="J83" s="33">
        <v>65.55</v>
      </c>
      <c r="K83" s="33"/>
      <c r="L83" s="33"/>
      <c r="M83" s="54">
        <f t="shared" si="44"/>
        <v>0.0499999999999972</v>
      </c>
      <c r="N83" s="54">
        <v>-65.55</v>
      </c>
      <c r="O83" s="54">
        <v>65.6</v>
      </c>
      <c r="P83" s="54"/>
      <c r="Q83" s="68">
        <f t="shared" si="45"/>
        <v>0</v>
      </c>
      <c r="R83" s="68"/>
      <c r="S83" s="68"/>
      <c r="T83" s="33"/>
      <c r="U83" s="54">
        <f t="shared" si="46"/>
        <v>65.6</v>
      </c>
      <c r="V83" s="75" t="s">
        <v>481</v>
      </c>
      <c r="W83" s="56"/>
    </row>
    <row r="84" s="1" customFormat="1" ht="26.25" customHeight="1" spans="1:23">
      <c r="A84" s="28" t="s">
        <v>3859</v>
      </c>
      <c r="B84" s="29" t="s">
        <v>2262</v>
      </c>
      <c r="C84" s="30" t="s">
        <v>1857</v>
      </c>
      <c r="D84" s="39" t="s">
        <v>1858</v>
      </c>
      <c r="E84" s="37" t="s">
        <v>3866</v>
      </c>
      <c r="F84" s="48" t="s">
        <v>3029</v>
      </c>
      <c r="G84" s="33">
        <f t="shared" si="43"/>
        <v>0</v>
      </c>
      <c r="H84" s="33"/>
      <c r="I84" s="33"/>
      <c r="J84" s="33"/>
      <c r="K84" s="33"/>
      <c r="L84" s="33"/>
      <c r="M84" s="54">
        <f t="shared" si="44"/>
        <v>1.45</v>
      </c>
      <c r="N84" s="54"/>
      <c r="O84" s="54">
        <v>1.45</v>
      </c>
      <c r="P84" s="54"/>
      <c r="Q84" s="68">
        <f t="shared" si="45"/>
        <v>0</v>
      </c>
      <c r="R84" s="68"/>
      <c r="S84" s="68"/>
      <c r="T84" s="33"/>
      <c r="U84" s="54">
        <f t="shared" si="46"/>
        <v>1.45</v>
      </c>
      <c r="V84" s="75" t="s">
        <v>643</v>
      </c>
      <c r="W84" s="56"/>
    </row>
    <row r="85" s="1" customFormat="1" ht="26.25" customHeight="1" spans="1:23">
      <c r="A85" s="28" t="s">
        <v>3859</v>
      </c>
      <c r="B85" s="29" t="s">
        <v>2262</v>
      </c>
      <c r="C85" s="30" t="s">
        <v>1857</v>
      </c>
      <c r="D85" s="52" t="s">
        <v>1858</v>
      </c>
      <c r="E85" s="37" t="s">
        <v>3867</v>
      </c>
      <c r="F85" s="48" t="s">
        <v>1023</v>
      </c>
      <c r="G85" s="33">
        <f t="shared" si="43"/>
        <v>8.94</v>
      </c>
      <c r="H85" s="33">
        <v>8.94</v>
      </c>
      <c r="I85" s="33"/>
      <c r="J85" s="33"/>
      <c r="K85" s="33"/>
      <c r="L85" s="33"/>
      <c r="M85" s="54">
        <f t="shared" si="44"/>
        <v>0</v>
      </c>
      <c r="N85" s="54"/>
      <c r="O85" s="54"/>
      <c r="P85" s="54"/>
      <c r="Q85" s="68">
        <f t="shared" si="45"/>
        <v>0</v>
      </c>
      <c r="R85" s="68"/>
      <c r="S85" s="68"/>
      <c r="T85" s="33"/>
      <c r="U85" s="33">
        <f t="shared" si="46"/>
        <v>8.94</v>
      </c>
      <c r="V85" s="69" t="s">
        <v>3760</v>
      </c>
      <c r="W85" s="56"/>
    </row>
    <row r="86" s="1" customFormat="1" ht="26.25" customHeight="1" spans="1:23">
      <c r="A86" s="16">
        <v>999003</v>
      </c>
      <c r="B86" s="23" t="s">
        <v>1404</v>
      </c>
      <c r="C86" s="24"/>
      <c r="D86" s="24"/>
      <c r="E86" s="25"/>
      <c r="F86" s="26"/>
      <c r="G86" s="27">
        <f t="shared" ref="G86:Z86" si="47">SUM(G87:G95)</f>
        <v>2003.19</v>
      </c>
      <c r="H86" s="27">
        <f t="shared" si="47"/>
        <v>1923.19</v>
      </c>
      <c r="I86" s="27">
        <f t="shared" si="47"/>
        <v>0</v>
      </c>
      <c r="J86" s="27">
        <f t="shared" si="47"/>
        <v>80</v>
      </c>
      <c r="K86" s="27">
        <f t="shared" si="47"/>
        <v>0</v>
      </c>
      <c r="L86" s="27">
        <f t="shared" si="47"/>
        <v>4.31</v>
      </c>
      <c r="M86" s="27">
        <f t="shared" si="47"/>
        <v>211</v>
      </c>
      <c r="N86" s="27">
        <f t="shared" si="47"/>
        <v>-80</v>
      </c>
      <c r="O86" s="27">
        <f t="shared" si="47"/>
        <v>291</v>
      </c>
      <c r="P86" s="27">
        <f t="shared" si="47"/>
        <v>0</v>
      </c>
      <c r="Q86" s="27">
        <f t="shared" si="47"/>
        <v>8</v>
      </c>
      <c r="R86" s="27">
        <f t="shared" si="47"/>
        <v>8</v>
      </c>
      <c r="S86" s="27">
        <f t="shared" si="47"/>
        <v>0</v>
      </c>
      <c r="T86" s="27">
        <f t="shared" si="47"/>
        <v>643</v>
      </c>
      <c r="U86" s="27">
        <f t="shared" si="47"/>
        <v>1583.5</v>
      </c>
      <c r="V86" s="67">
        <f t="shared" si="47"/>
        <v>0</v>
      </c>
      <c r="W86" s="56"/>
    </row>
    <row r="87" s="1" customFormat="1" ht="26.25" customHeight="1" spans="1:23">
      <c r="A87" s="28">
        <v>999003</v>
      </c>
      <c r="B87" s="29" t="s">
        <v>3662</v>
      </c>
      <c r="C87" s="35" t="s">
        <v>2711</v>
      </c>
      <c r="D87" s="76" t="s">
        <v>2712</v>
      </c>
      <c r="E87" s="41" t="s">
        <v>3868</v>
      </c>
      <c r="F87" s="35" t="s">
        <v>889</v>
      </c>
      <c r="G87" s="33">
        <f t="shared" ref="G87:G95" si="48">SUM(H87:J87)</f>
        <v>0</v>
      </c>
      <c r="H87" s="33"/>
      <c r="I87" s="33"/>
      <c r="J87" s="33"/>
      <c r="K87" s="33"/>
      <c r="L87" s="33"/>
      <c r="M87" s="54">
        <f t="shared" ref="M87:M95" si="49">N87+O87-P87</f>
        <v>219</v>
      </c>
      <c r="N87" s="54"/>
      <c r="O87" s="54">
        <v>219</v>
      </c>
      <c r="P87" s="54"/>
      <c r="Q87" s="68">
        <f t="shared" ref="Q87:Q95" si="50">R87-S87</f>
        <v>0</v>
      </c>
      <c r="R87" s="68"/>
      <c r="S87" s="68"/>
      <c r="T87" s="33"/>
      <c r="U87" s="54">
        <f t="shared" ref="U87:U95" si="51">G87+K87+L87+M87+Q87-T87</f>
        <v>219</v>
      </c>
      <c r="V87" s="75" t="s">
        <v>517</v>
      </c>
      <c r="W87" s="56"/>
    </row>
    <row r="88" s="1" customFormat="1" ht="26.25" customHeight="1" spans="1:23">
      <c r="A88" s="28" t="s">
        <v>3869</v>
      </c>
      <c r="B88" s="29" t="s">
        <v>3662</v>
      </c>
      <c r="C88" s="30" t="s">
        <v>2711</v>
      </c>
      <c r="D88" s="52" t="s">
        <v>2712</v>
      </c>
      <c r="E88" s="37" t="s">
        <v>3868</v>
      </c>
      <c r="F88" s="77" t="s">
        <v>3870</v>
      </c>
      <c r="G88" s="33">
        <f t="shared" si="48"/>
        <v>1900</v>
      </c>
      <c r="H88" s="33">
        <v>1900</v>
      </c>
      <c r="I88" s="33"/>
      <c r="J88" s="33"/>
      <c r="K88" s="33">
        <v>-187</v>
      </c>
      <c r="L88" s="33"/>
      <c r="M88" s="54">
        <f t="shared" si="49"/>
        <v>0</v>
      </c>
      <c r="N88" s="54"/>
      <c r="O88" s="54"/>
      <c r="P88" s="54"/>
      <c r="Q88" s="68">
        <f t="shared" si="50"/>
        <v>0</v>
      </c>
      <c r="R88" s="68"/>
      <c r="S88" s="68"/>
      <c r="T88" s="33">
        <f>313+330</f>
        <v>643</v>
      </c>
      <c r="U88" s="33">
        <f t="shared" si="51"/>
        <v>1070</v>
      </c>
      <c r="V88" s="69" t="s">
        <v>3760</v>
      </c>
      <c r="W88" s="56"/>
    </row>
    <row r="89" s="1" customFormat="1" ht="26.25" customHeight="1" spans="1:23">
      <c r="A89" s="28" t="s">
        <v>3869</v>
      </c>
      <c r="B89" s="29" t="s">
        <v>3662</v>
      </c>
      <c r="C89" s="78" t="s">
        <v>3665</v>
      </c>
      <c r="D89" s="79" t="s">
        <v>3666</v>
      </c>
      <c r="E89" s="80" t="s">
        <v>3868</v>
      </c>
      <c r="F89" s="81" t="s">
        <v>889</v>
      </c>
      <c r="G89" s="33">
        <f t="shared" si="48"/>
        <v>0</v>
      </c>
      <c r="H89" s="33"/>
      <c r="I89" s="33"/>
      <c r="J89" s="33"/>
      <c r="K89" s="33">
        <v>187</v>
      </c>
      <c r="L89" s="33"/>
      <c r="M89" s="54">
        <f t="shared" si="49"/>
        <v>0</v>
      </c>
      <c r="N89" s="54"/>
      <c r="O89" s="54"/>
      <c r="P89" s="54"/>
      <c r="Q89" s="68">
        <f t="shared" si="50"/>
        <v>0</v>
      </c>
      <c r="R89" s="68"/>
      <c r="S89" s="68"/>
      <c r="T89" s="33"/>
      <c r="U89" s="33">
        <f t="shared" si="51"/>
        <v>187</v>
      </c>
      <c r="V89" s="69" t="s">
        <v>3760</v>
      </c>
      <c r="W89" s="56"/>
    </row>
    <row r="90" s="1" customFormat="1" ht="26.25" customHeight="1" spans="1:23">
      <c r="A90" s="28" t="s">
        <v>3869</v>
      </c>
      <c r="B90" s="29" t="s">
        <v>3662</v>
      </c>
      <c r="C90" s="30" t="s">
        <v>2726</v>
      </c>
      <c r="D90" s="39" t="s">
        <v>2727</v>
      </c>
      <c r="E90" s="37" t="s">
        <v>3871</v>
      </c>
      <c r="F90" s="48" t="s">
        <v>3872</v>
      </c>
      <c r="G90" s="33">
        <f t="shared" si="48"/>
        <v>80</v>
      </c>
      <c r="H90" s="33"/>
      <c r="I90" s="33"/>
      <c r="J90" s="33">
        <v>80</v>
      </c>
      <c r="K90" s="33">
        <v>27.5</v>
      </c>
      <c r="L90" s="33"/>
      <c r="M90" s="54">
        <f t="shared" si="49"/>
        <v>-80</v>
      </c>
      <c r="N90" s="54">
        <v>-80</v>
      </c>
      <c r="O90" s="54"/>
      <c r="P90" s="54"/>
      <c r="Q90" s="68">
        <f t="shared" si="50"/>
        <v>0</v>
      </c>
      <c r="R90" s="68"/>
      <c r="S90" s="68"/>
      <c r="T90" s="33"/>
      <c r="U90" s="54">
        <f t="shared" si="51"/>
        <v>27.5</v>
      </c>
      <c r="V90" s="92"/>
      <c r="W90" s="56"/>
    </row>
    <row r="91" s="1" customFormat="1" ht="26.25" customHeight="1" spans="1:23">
      <c r="A91" s="28">
        <v>999003</v>
      </c>
      <c r="B91" s="29" t="s">
        <v>3662</v>
      </c>
      <c r="C91" s="35" t="s">
        <v>2726</v>
      </c>
      <c r="D91" s="38" t="s">
        <v>2727</v>
      </c>
      <c r="E91" s="41" t="s">
        <v>3871</v>
      </c>
      <c r="F91" s="38" t="s">
        <v>3872</v>
      </c>
      <c r="G91" s="33">
        <f t="shared" si="48"/>
        <v>0</v>
      </c>
      <c r="H91" s="33"/>
      <c r="I91" s="33"/>
      <c r="J91" s="33"/>
      <c r="K91" s="33"/>
      <c r="L91" s="33"/>
      <c r="M91" s="54">
        <f t="shared" si="49"/>
        <v>0</v>
      </c>
      <c r="N91" s="54"/>
      <c r="O91" s="54"/>
      <c r="P91" s="54"/>
      <c r="Q91" s="68">
        <f t="shared" si="50"/>
        <v>1</v>
      </c>
      <c r="R91" s="68">
        <v>1</v>
      </c>
      <c r="S91" s="68"/>
      <c r="T91" s="33"/>
      <c r="U91" s="68">
        <f t="shared" si="51"/>
        <v>1</v>
      </c>
      <c r="V91" s="91" t="s">
        <v>3873</v>
      </c>
      <c r="W91" s="56"/>
    </row>
    <row r="92" s="1" customFormat="1" ht="26.25" customHeight="1" spans="1:23">
      <c r="A92" s="28">
        <v>999003</v>
      </c>
      <c r="B92" s="29" t="s">
        <v>3662</v>
      </c>
      <c r="C92" s="35" t="s">
        <v>2726</v>
      </c>
      <c r="D92" s="38" t="s">
        <v>2727</v>
      </c>
      <c r="E92" s="41" t="s">
        <v>3871</v>
      </c>
      <c r="F92" s="38" t="s">
        <v>3872</v>
      </c>
      <c r="G92" s="33">
        <f t="shared" si="48"/>
        <v>0</v>
      </c>
      <c r="H92" s="33"/>
      <c r="I92" s="33"/>
      <c r="J92" s="33"/>
      <c r="K92" s="33"/>
      <c r="L92" s="33"/>
      <c r="M92" s="54">
        <f t="shared" si="49"/>
        <v>0</v>
      </c>
      <c r="N92" s="54"/>
      <c r="O92" s="54"/>
      <c r="P92" s="54"/>
      <c r="Q92" s="68">
        <f t="shared" si="50"/>
        <v>1</v>
      </c>
      <c r="R92" s="68">
        <v>1</v>
      </c>
      <c r="S92" s="68"/>
      <c r="T92" s="33"/>
      <c r="U92" s="68">
        <f t="shared" si="51"/>
        <v>1</v>
      </c>
      <c r="V92" s="91" t="s">
        <v>3874</v>
      </c>
      <c r="W92" s="56"/>
    </row>
    <row r="93" s="1" customFormat="1" ht="26.25" customHeight="1" spans="1:23">
      <c r="A93" s="28">
        <v>999003</v>
      </c>
      <c r="B93" s="29" t="s">
        <v>3662</v>
      </c>
      <c r="C93" s="35" t="s">
        <v>2726</v>
      </c>
      <c r="D93" s="38" t="s">
        <v>2727</v>
      </c>
      <c r="E93" s="41" t="s">
        <v>3871</v>
      </c>
      <c r="F93" s="38" t="s">
        <v>3872</v>
      </c>
      <c r="G93" s="33">
        <f t="shared" si="48"/>
        <v>0</v>
      </c>
      <c r="H93" s="33"/>
      <c r="I93" s="33"/>
      <c r="J93" s="33"/>
      <c r="K93" s="33"/>
      <c r="L93" s="33"/>
      <c r="M93" s="54">
        <f t="shared" si="49"/>
        <v>0</v>
      </c>
      <c r="N93" s="54"/>
      <c r="O93" s="54"/>
      <c r="P93" s="54"/>
      <c r="Q93" s="68">
        <f t="shared" si="50"/>
        <v>6</v>
      </c>
      <c r="R93" s="68">
        <v>6</v>
      </c>
      <c r="S93" s="68"/>
      <c r="T93" s="33"/>
      <c r="U93" s="68">
        <f t="shared" si="51"/>
        <v>6</v>
      </c>
      <c r="V93" s="91" t="s">
        <v>3875</v>
      </c>
      <c r="W93" s="56"/>
    </row>
    <row r="94" s="1" customFormat="1" ht="26.25" customHeight="1" spans="1:23">
      <c r="A94" s="28" t="s">
        <v>3869</v>
      </c>
      <c r="B94" s="29" t="s">
        <v>3662</v>
      </c>
      <c r="C94" s="30" t="s">
        <v>2726</v>
      </c>
      <c r="D94" s="39" t="s">
        <v>2727</v>
      </c>
      <c r="E94" s="41" t="s">
        <v>3876</v>
      </c>
      <c r="F94" s="35" t="s">
        <v>883</v>
      </c>
      <c r="G94" s="33">
        <f t="shared" si="48"/>
        <v>0</v>
      </c>
      <c r="H94" s="33"/>
      <c r="I94" s="33"/>
      <c r="J94" s="33"/>
      <c r="K94" s="33"/>
      <c r="L94" s="33"/>
      <c r="M94" s="54">
        <f t="shared" si="49"/>
        <v>11</v>
      </c>
      <c r="N94" s="54"/>
      <c r="O94" s="54">
        <v>11</v>
      </c>
      <c r="P94" s="54"/>
      <c r="Q94" s="68">
        <f t="shared" si="50"/>
        <v>0</v>
      </c>
      <c r="R94" s="68"/>
      <c r="S94" s="68"/>
      <c r="T94" s="33"/>
      <c r="U94" s="54">
        <f t="shared" si="51"/>
        <v>11</v>
      </c>
      <c r="V94" s="93" t="s">
        <v>626</v>
      </c>
      <c r="W94" s="56"/>
    </row>
    <row r="95" s="1" customFormat="1" ht="26.25" customHeight="1" spans="1:23">
      <c r="A95" s="28" t="s">
        <v>3869</v>
      </c>
      <c r="B95" s="29" t="s">
        <v>3662</v>
      </c>
      <c r="C95" s="30" t="s">
        <v>2726</v>
      </c>
      <c r="D95" s="39" t="s">
        <v>2727</v>
      </c>
      <c r="E95" s="37" t="s">
        <v>3876</v>
      </c>
      <c r="F95" s="77" t="s">
        <v>3877</v>
      </c>
      <c r="G95" s="33">
        <f t="shared" si="48"/>
        <v>23.19</v>
      </c>
      <c r="H95" s="33">
        <v>23.19</v>
      </c>
      <c r="I95" s="33"/>
      <c r="J95" s="33"/>
      <c r="K95" s="33">
        <v>-27.5</v>
      </c>
      <c r="L95" s="33">
        <v>4.31</v>
      </c>
      <c r="M95" s="54">
        <f t="shared" si="49"/>
        <v>61</v>
      </c>
      <c r="N95" s="54">
        <v>0</v>
      </c>
      <c r="O95" s="54">
        <v>61</v>
      </c>
      <c r="P95" s="54"/>
      <c r="Q95" s="68">
        <f t="shared" si="50"/>
        <v>0</v>
      </c>
      <c r="R95" s="68"/>
      <c r="S95" s="68"/>
      <c r="T95" s="33">
        <v>0</v>
      </c>
      <c r="U95" s="54">
        <f t="shared" si="51"/>
        <v>61</v>
      </c>
      <c r="V95" s="75" t="s">
        <v>520</v>
      </c>
      <c r="W95" s="56"/>
    </row>
    <row r="96" s="1" customFormat="1" ht="26.25" customHeight="1" spans="1:23">
      <c r="A96" s="16" t="s">
        <v>3878</v>
      </c>
      <c r="B96" s="23" t="s">
        <v>1405</v>
      </c>
      <c r="C96" s="24"/>
      <c r="D96" s="24"/>
      <c r="E96" s="25"/>
      <c r="F96" s="26"/>
      <c r="G96" s="27">
        <f t="shared" ref="G96:Z96" si="52">SUM(G97:G100)</f>
        <v>360</v>
      </c>
      <c r="H96" s="27">
        <f t="shared" si="52"/>
        <v>360</v>
      </c>
      <c r="I96" s="27">
        <f t="shared" si="52"/>
        <v>0</v>
      </c>
      <c r="J96" s="27">
        <f t="shared" si="52"/>
        <v>0</v>
      </c>
      <c r="K96" s="27">
        <f t="shared" si="52"/>
        <v>0</v>
      </c>
      <c r="L96" s="27">
        <f t="shared" si="52"/>
        <v>0</v>
      </c>
      <c r="M96" s="27">
        <f t="shared" si="52"/>
        <v>65</v>
      </c>
      <c r="N96" s="27">
        <f t="shared" si="52"/>
        <v>0</v>
      </c>
      <c r="O96" s="27">
        <f t="shared" si="52"/>
        <v>65</v>
      </c>
      <c r="P96" s="27">
        <f t="shared" si="52"/>
        <v>0</v>
      </c>
      <c r="Q96" s="27">
        <f t="shared" si="52"/>
        <v>253.24</v>
      </c>
      <c r="R96" s="27">
        <f t="shared" si="52"/>
        <v>253.24</v>
      </c>
      <c r="S96" s="27">
        <f t="shared" si="52"/>
        <v>0</v>
      </c>
      <c r="T96" s="27">
        <f t="shared" si="52"/>
        <v>0</v>
      </c>
      <c r="U96" s="27">
        <f t="shared" si="52"/>
        <v>678.24</v>
      </c>
      <c r="V96" s="67">
        <f t="shared" si="52"/>
        <v>0</v>
      </c>
      <c r="W96" s="56"/>
    </row>
    <row r="97" s="1" customFormat="1" ht="26.25" customHeight="1" spans="1:23">
      <c r="A97" s="28" t="s">
        <v>3879</v>
      </c>
      <c r="B97" s="29" t="s">
        <v>3670</v>
      </c>
      <c r="C97" s="30" t="s">
        <v>3880</v>
      </c>
      <c r="D97" s="52" t="s">
        <v>3881</v>
      </c>
      <c r="E97" s="37" t="s">
        <v>3882</v>
      </c>
      <c r="F97" s="32" t="s">
        <v>3883</v>
      </c>
      <c r="G97" s="33">
        <f t="shared" ref="G97:G100" si="53">SUM(H97:J97)</f>
        <v>300</v>
      </c>
      <c r="H97" s="33">
        <v>300</v>
      </c>
      <c r="I97" s="33"/>
      <c r="J97" s="33"/>
      <c r="K97" s="33"/>
      <c r="L97" s="33"/>
      <c r="M97" s="54">
        <f t="shared" ref="M97:M100" si="54">N97+O97-P97</f>
        <v>0</v>
      </c>
      <c r="N97" s="54"/>
      <c r="O97" s="54"/>
      <c r="P97" s="54"/>
      <c r="Q97" s="68">
        <f t="shared" ref="Q97:Q100" si="55">R97-S97</f>
        <v>0</v>
      </c>
      <c r="R97" s="68"/>
      <c r="S97" s="68"/>
      <c r="T97" s="33"/>
      <c r="U97" s="70">
        <f t="shared" ref="U97:U100" si="56">G97+K97+L97+M97+Q97-T97</f>
        <v>300</v>
      </c>
      <c r="V97" s="69" t="s">
        <v>3760</v>
      </c>
      <c r="W97" s="56"/>
    </row>
    <row r="98" s="1" customFormat="1" ht="26.25" customHeight="1" spans="1:23">
      <c r="A98" s="28" t="s">
        <v>3879</v>
      </c>
      <c r="B98" s="29" t="s">
        <v>3670</v>
      </c>
      <c r="C98" s="35" t="s">
        <v>3151</v>
      </c>
      <c r="D98" s="38" t="s">
        <v>3152</v>
      </c>
      <c r="E98" s="34" t="s">
        <v>3884</v>
      </c>
      <c r="F98" s="38" t="s">
        <v>3166</v>
      </c>
      <c r="G98" s="33">
        <f t="shared" si="53"/>
        <v>0</v>
      </c>
      <c r="H98" s="33"/>
      <c r="I98" s="33"/>
      <c r="J98" s="33"/>
      <c r="K98" s="33"/>
      <c r="L98" s="33"/>
      <c r="M98" s="54">
        <f t="shared" si="54"/>
        <v>0</v>
      </c>
      <c r="N98" s="54"/>
      <c r="O98" s="54"/>
      <c r="P98" s="54"/>
      <c r="Q98" s="68">
        <f t="shared" si="55"/>
        <v>253.24</v>
      </c>
      <c r="R98" s="68">
        <v>253.24</v>
      </c>
      <c r="S98" s="68"/>
      <c r="T98" s="33"/>
      <c r="U98" s="68">
        <f t="shared" si="56"/>
        <v>253.24</v>
      </c>
      <c r="V98" s="71" t="s">
        <v>3885</v>
      </c>
      <c r="W98" s="56"/>
    </row>
    <row r="99" s="1" customFormat="1" ht="26.25" customHeight="1" spans="1:23">
      <c r="A99" s="28" t="s">
        <v>3879</v>
      </c>
      <c r="B99" s="29" t="s">
        <v>3670</v>
      </c>
      <c r="C99" s="30" t="s">
        <v>3284</v>
      </c>
      <c r="D99" s="52" t="s">
        <v>3285</v>
      </c>
      <c r="E99" s="30" t="s">
        <v>3886</v>
      </c>
      <c r="F99" s="32" t="s">
        <v>3887</v>
      </c>
      <c r="G99" s="33">
        <f t="shared" si="53"/>
        <v>60</v>
      </c>
      <c r="H99" s="33">
        <v>60</v>
      </c>
      <c r="I99" s="33"/>
      <c r="J99" s="33"/>
      <c r="K99" s="33"/>
      <c r="L99" s="33"/>
      <c r="M99" s="54">
        <f t="shared" si="54"/>
        <v>0</v>
      </c>
      <c r="N99" s="54"/>
      <c r="O99" s="54"/>
      <c r="P99" s="54"/>
      <c r="Q99" s="68">
        <f t="shared" si="55"/>
        <v>0</v>
      </c>
      <c r="R99" s="68"/>
      <c r="S99" s="68"/>
      <c r="T99" s="33"/>
      <c r="U99" s="33">
        <f t="shared" si="56"/>
        <v>60</v>
      </c>
      <c r="V99" s="69" t="s">
        <v>3760</v>
      </c>
      <c r="W99" s="56"/>
    </row>
    <row r="100" s="1" customFormat="1" ht="26.25" customHeight="1" spans="1:23">
      <c r="A100" s="28" t="s">
        <v>3879</v>
      </c>
      <c r="B100" s="29" t="s">
        <v>3670</v>
      </c>
      <c r="C100" s="30">
        <v>2130209</v>
      </c>
      <c r="D100" s="39"/>
      <c r="E100" s="30"/>
      <c r="F100" s="82" t="s">
        <v>3680</v>
      </c>
      <c r="G100" s="33">
        <f t="shared" si="53"/>
        <v>0</v>
      </c>
      <c r="H100" s="33"/>
      <c r="I100" s="33"/>
      <c r="J100" s="33"/>
      <c r="K100" s="33"/>
      <c r="L100" s="33"/>
      <c r="M100" s="54">
        <f t="shared" si="54"/>
        <v>65</v>
      </c>
      <c r="N100" s="54"/>
      <c r="O100" s="54">
        <v>65</v>
      </c>
      <c r="P100" s="54"/>
      <c r="Q100" s="68">
        <f t="shared" si="55"/>
        <v>0</v>
      </c>
      <c r="R100" s="68"/>
      <c r="S100" s="68"/>
      <c r="T100" s="33"/>
      <c r="U100" s="54">
        <f t="shared" si="56"/>
        <v>65</v>
      </c>
      <c r="V100" s="75" t="s">
        <v>552</v>
      </c>
      <c r="W100" s="56"/>
    </row>
    <row r="101" s="1" customFormat="1" ht="26.25" customHeight="1" spans="1:23">
      <c r="A101" s="16" t="s">
        <v>3888</v>
      </c>
      <c r="B101" s="23" t="s">
        <v>1423</v>
      </c>
      <c r="C101" s="24"/>
      <c r="D101" s="24"/>
      <c r="E101" s="25"/>
      <c r="F101" s="26"/>
      <c r="G101" s="27">
        <f t="shared" ref="G101:Z101" si="57">SUM(G102:G103)</f>
        <v>73</v>
      </c>
      <c r="H101" s="27">
        <f t="shared" si="57"/>
        <v>73</v>
      </c>
      <c r="I101" s="27">
        <f t="shared" si="57"/>
        <v>0</v>
      </c>
      <c r="J101" s="27">
        <f t="shared" si="57"/>
        <v>0</v>
      </c>
      <c r="K101" s="27">
        <f t="shared" si="57"/>
        <v>0</v>
      </c>
      <c r="L101" s="27">
        <f t="shared" si="57"/>
        <v>0</v>
      </c>
      <c r="M101" s="27">
        <f t="shared" si="57"/>
        <v>0</v>
      </c>
      <c r="N101" s="27">
        <f t="shared" si="57"/>
        <v>0</v>
      </c>
      <c r="O101" s="27">
        <f t="shared" si="57"/>
        <v>0</v>
      </c>
      <c r="P101" s="27">
        <f t="shared" si="57"/>
        <v>0</v>
      </c>
      <c r="Q101" s="27">
        <f t="shared" si="57"/>
        <v>0</v>
      </c>
      <c r="R101" s="27">
        <f t="shared" si="57"/>
        <v>0</v>
      </c>
      <c r="S101" s="27">
        <f t="shared" si="57"/>
        <v>0</v>
      </c>
      <c r="T101" s="27">
        <f t="shared" si="57"/>
        <v>0</v>
      </c>
      <c r="U101" s="27">
        <f t="shared" si="57"/>
        <v>73</v>
      </c>
      <c r="V101" s="67">
        <f t="shared" si="57"/>
        <v>0</v>
      </c>
      <c r="W101" s="56"/>
    </row>
    <row r="102" s="1" customFormat="1" ht="26.25" customHeight="1" spans="1:23">
      <c r="A102" s="28" t="s">
        <v>3889</v>
      </c>
      <c r="B102" s="29" t="s">
        <v>3890</v>
      </c>
      <c r="C102" s="30" t="s">
        <v>2412</v>
      </c>
      <c r="D102" s="83" t="s">
        <v>2310</v>
      </c>
      <c r="E102" s="37" t="s">
        <v>3891</v>
      </c>
      <c r="F102" s="32" t="s">
        <v>3892</v>
      </c>
      <c r="G102" s="33">
        <f t="shared" ref="G102:G106" si="58">SUM(H102:J102)</f>
        <v>57</v>
      </c>
      <c r="H102" s="33">
        <v>57</v>
      </c>
      <c r="I102" s="33"/>
      <c r="J102" s="33"/>
      <c r="K102" s="33"/>
      <c r="L102" s="33"/>
      <c r="M102" s="54">
        <f t="shared" ref="M102:M106" si="59">N102+O102-P102</f>
        <v>0</v>
      </c>
      <c r="N102" s="54"/>
      <c r="O102" s="54"/>
      <c r="P102" s="54"/>
      <c r="Q102" s="68">
        <f t="shared" ref="Q102:Q106" si="60">R102-S102</f>
        <v>0</v>
      </c>
      <c r="R102" s="68"/>
      <c r="S102" s="68"/>
      <c r="T102" s="33"/>
      <c r="U102" s="70">
        <f t="shared" ref="U102:U106" si="61">G102+K102+L102+M102+Q102-T102</f>
        <v>57</v>
      </c>
      <c r="V102" s="69" t="s">
        <v>3760</v>
      </c>
      <c r="W102" s="56"/>
    </row>
    <row r="103" s="1" customFormat="1" ht="26.25" customHeight="1" spans="1:23">
      <c r="A103" s="28" t="s">
        <v>3889</v>
      </c>
      <c r="B103" s="29" t="s">
        <v>3890</v>
      </c>
      <c r="C103" s="30" t="s">
        <v>2412</v>
      </c>
      <c r="D103" s="83" t="s">
        <v>2310</v>
      </c>
      <c r="E103" s="37" t="s">
        <v>3893</v>
      </c>
      <c r="F103" s="32" t="s">
        <v>3894</v>
      </c>
      <c r="G103" s="33">
        <f t="shared" si="58"/>
        <v>16</v>
      </c>
      <c r="H103" s="33">
        <v>16</v>
      </c>
      <c r="I103" s="33"/>
      <c r="J103" s="33"/>
      <c r="K103" s="33"/>
      <c r="L103" s="33"/>
      <c r="M103" s="54">
        <f t="shared" si="59"/>
        <v>0</v>
      </c>
      <c r="N103" s="54"/>
      <c r="O103" s="54"/>
      <c r="P103" s="54"/>
      <c r="Q103" s="68">
        <f t="shared" si="60"/>
        <v>0</v>
      </c>
      <c r="R103" s="68"/>
      <c r="S103" s="68"/>
      <c r="T103" s="33"/>
      <c r="U103" s="70">
        <f t="shared" si="61"/>
        <v>16</v>
      </c>
      <c r="V103" s="69" t="s">
        <v>3760</v>
      </c>
      <c r="W103" s="56"/>
    </row>
    <row r="104" s="1" customFormat="1" ht="26.25" customHeight="1" spans="1:23">
      <c r="A104" s="16">
        <v>999006</v>
      </c>
      <c r="B104" s="23" t="s">
        <v>1424</v>
      </c>
      <c r="C104" s="24"/>
      <c r="D104" s="24"/>
      <c r="E104" s="25"/>
      <c r="F104" s="26"/>
      <c r="G104" s="27">
        <f t="shared" ref="G104:U104" si="62">SUM(G105:G106)</f>
        <v>0</v>
      </c>
      <c r="H104" s="27">
        <f t="shared" si="62"/>
        <v>0</v>
      </c>
      <c r="I104" s="27">
        <f t="shared" si="62"/>
        <v>0</v>
      </c>
      <c r="J104" s="27">
        <f t="shared" si="62"/>
        <v>0</v>
      </c>
      <c r="K104" s="27">
        <f t="shared" si="62"/>
        <v>0</v>
      </c>
      <c r="L104" s="27">
        <f t="shared" si="62"/>
        <v>0</v>
      </c>
      <c r="M104" s="27">
        <f t="shared" si="62"/>
        <v>0</v>
      </c>
      <c r="N104" s="27">
        <f t="shared" si="62"/>
        <v>0</v>
      </c>
      <c r="O104" s="27">
        <f t="shared" si="62"/>
        <v>0</v>
      </c>
      <c r="P104" s="27">
        <f t="shared" si="62"/>
        <v>0</v>
      </c>
      <c r="Q104" s="27">
        <f t="shared" si="62"/>
        <v>2</v>
      </c>
      <c r="R104" s="27">
        <f t="shared" si="62"/>
        <v>2</v>
      </c>
      <c r="S104" s="27">
        <f t="shared" si="62"/>
        <v>0</v>
      </c>
      <c r="T104" s="27">
        <f t="shared" si="62"/>
        <v>0</v>
      </c>
      <c r="U104" s="27">
        <f t="shared" si="62"/>
        <v>2</v>
      </c>
      <c r="V104" s="67">
        <f>SUM(V105:V109)</f>
        <v>0</v>
      </c>
      <c r="W104" s="56"/>
    </row>
    <row r="105" s="1" customFormat="1" ht="26.25" customHeight="1" spans="1:23">
      <c r="A105" s="28">
        <v>999006</v>
      </c>
      <c r="B105" s="29" t="s">
        <v>3895</v>
      </c>
      <c r="C105" s="35" t="s">
        <v>3896</v>
      </c>
      <c r="D105" s="38" t="s">
        <v>3897</v>
      </c>
      <c r="E105" s="34" t="s">
        <v>3898</v>
      </c>
      <c r="F105" s="38" t="s">
        <v>3899</v>
      </c>
      <c r="G105" s="33">
        <f t="shared" si="58"/>
        <v>0</v>
      </c>
      <c r="H105" s="33"/>
      <c r="I105" s="33"/>
      <c r="J105" s="33"/>
      <c r="K105" s="33"/>
      <c r="L105" s="33"/>
      <c r="M105" s="54">
        <f t="shared" si="59"/>
        <v>0</v>
      </c>
      <c r="N105" s="54"/>
      <c r="O105" s="54"/>
      <c r="P105" s="54"/>
      <c r="Q105" s="68">
        <f t="shared" si="60"/>
        <v>2</v>
      </c>
      <c r="R105" s="68">
        <v>2</v>
      </c>
      <c r="S105" s="68"/>
      <c r="T105" s="33"/>
      <c r="U105" s="68">
        <f t="shared" si="61"/>
        <v>2</v>
      </c>
      <c r="V105" s="91" t="s">
        <v>3900</v>
      </c>
      <c r="W105" s="56"/>
    </row>
    <row r="106" s="1" customFormat="1" ht="26.25" customHeight="1" spans="1:23">
      <c r="A106" s="28"/>
      <c r="B106" s="29"/>
      <c r="C106" s="30"/>
      <c r="D106" s="83"/>
      <c r="E106" s="84"/>
      <c r="F106" s="29"/>
      <c r="G106" s="33">
        <f t="shared" si="58"/>
        <v>0</v>
      </c>
      <c r="H106" s="33"/>
      <c r="I106" s="33"/>
      <c r="J106" s="33"/>
      <c r="K106" s="33"/>
      <c r="L106" s="33"/>
      <c r="M106" s="54">
        <f t="shared" si="59"/>
        <v>0</v>
      </c>
      <c r="N106" s="54"/>
      <c r="O106" s="54"/>
      <c r="P106" s="54"/>
      <c r="Q106" s="68">
        <f t="shared" si="60"/>
        <v>0</v>
      </c>
      <c r="R106" s="68"/>
      <c r="S106" s="68"/>
      <c r="T106" s="33"/>
      <c r="U106" s="33">
        <f t="shared" si="61"/>
        <v>0</v>
      </c>
      <c r="V106" s="69"/>
      <c r="W106" s="56"/>
    </row>
    <row r="107" s="1" customFormat="1" ht="26.25" customHeight="1" spans="1:23">
      <c r="A107" s="16" t="s">
        <v>3901</v>
      </c>
      <c r="B107" s="23" t="s">
        <v>1407</v>
      </c>
      <c r="C107" s="24"/>
      <c r="D107" s="24"/>
      <c r="E107" s="25"/>
      <c r="F107" s="26"/>
      <c r="G107" s="27">
        <f t="shared" ref="G107:Z107" si="63">SUM(G108:G111)</f>
        <v>2200</v>
      </c>
      <c r="H107" s="27">
        <f t="shared" si="63"/>
        <v>2200</v>
      </c>
      <c r="I107" s="27">
        <f t="shared" si="63"/>
        <v>0</v>
      </c>
      <c r="J107" s="27">
        <f t="shared" si="63"/>
        <v>0</v>
      </c>
      <c r="K107" s="27">
        <f t="shared" si="63"/>
        <v>0</v>
      </c>
      <c r="L107" s="27">
        <f t="shared" si="63"/>
        <v>0</v>
      </c>
      <c r="M107" s="27">
        <f t="shared" si="63"/>
        <v>0</v>
      </c>
      <c r="N107" s="27">
        <f t="shared" si="63"/>
        <v>0</v>
      </c>
      <c r="O107" s="27">
        <f t="shared" si="63"/>
        <v>0</v>
      </c>
      <c r="P107" s="27">
        <f t="shared" si="63"/>
        <v>0</v>
      </c>
      <c r="Q107" s="27">
        <f t="shared" si="63"/>
        <v>0</v>
      </c>
      <c r="R107" s="27">
        <f t="shared" si="63"/>
        <v>2</v>
      </c>
      <c r="S107" s="27">
        <f t="shared" si="63"/>
        <v>2</v>
      </c>
      <c r="T107" s="27">
        <f t="shared" si="63"/>
        <v>1600</v>
      </c>
      <c r="U107" s="27">
        <f t="shared" si="63"/>
        <v>600</v>
      </c>
      <c r="V107" s="67">
        <f t="shared" si="63"/>
        <v>0</v>
      </c>
      <c r="W107" s="56"/>
    </row>
    <row r="108" s="1" customFormat="1" ht="26.25" customHeight="1" spans="1:23">
      <c r="A108" s="28" t="s">
        <v>3902</v>
      </c>
      <c r="B108" s="29" t="s">
        <v>3697</v>
      </c>
      <c r="C108" s="30" t="s">
        <v>3698</v>
      </c>
      <c r="D108" s="83" t="s">
        <v>3699</v>
      </c>
      <c r="E108" s="30" t="s">
        <v>3903</v>
      </c>
      <c r="F108" s="32" t="s">
        <v>1104</v>
      </c>
      <c r="G108" s="33">
        <f t="shared" ref="G108:G111" si="64">SUM(H108:J108)</f>
        <v>600</v>
      </c>
      <c r="H108" s="33">
        <v>600</v>
      </c>
      <c r="I108" s="33"/>
      <c r="J108" s="33"/>
      <c r="K108" s="33"/>
      <c r="L108" s="33"/>
      <c r="M108" s="54">
        <f t="shared" ref="M108:M111" si="65">N108+O108-P108</f>
        <v>0</v>
      </c>
      <c r="N108" s="54"/>
      <c r="O108" s="54"/>
      <c r="P108" s="54"/>
      <c r="Q108" s="68">
        <f t="shared" ref="Q108:Q111" si="66">R108-S108</f>
        <v>0</v>
      </c>
      <c r="R108" s="68"/>
      <c r="S108" s="68"/>
      <c r="T108" s="33"/>
      <c r="U108" s="33">
        <f t="shared" ref="U108:U111" si="67">G108+K108+L108+M108+Q108-T108</f>
        <v>600</v>
      </c>
      <c r="V108" s="69" t="s">
        <v>3760</v>
      </c>
      <c r="W108" s="56"/>
    </row>
    <row r="109" s="1" customFormat="1" ht="26.25" customHeight="1" spans="1:23">
      <c r="A109" s="28" t="s">
        <v>3902</v>
      </c>
      <c r="B109" s="29" t="s">
        <v>3697</v>
      </c>
      <c r="C109" s="30" t="s">
        <v>3701</v>
      </c>
      <c r="D109" s="83" t="s">
        <v>891</v>
      </c>
      <c r="E109" s="30" t="s">
        <v>3904</v>
      </c>
      <c r="F109" s="32" t="s">
        <v>891</v>
      </c>
      <c r="G109" s="33">
        <f t="shared" si="64"/>
        <v>600</v>
      </c>
      <c r="H109" s="33">
        <v>600</v>
      </c>
      <c r="I109" s="33"/>
      <c r="J109" s="33"/>
      <c r="K109" s="33"/>
      <c r="L109" s="33"/>
      <c r="M109" s="54">
        <f t="shared" si="65"/>
        <v>0</v>
      </c>
      <c r="N109" s="54"/>
      <c r="O109" s="54"/>
      <c r="P109" s="54"/>
      <c r="Q109" s="68">
        <f t="shared" si="66"/>
        <v>0</v>
      </c>
      <c r="R109" s="68"/>
      <c r="S109" s="68"/>
      <c r="T109" s="33">
        <v>600</v>
      </c>
      <c r="U109" s="33">
        <f t="shared" si="67"/>
        <v>0</v>
      </c>
      <c r="V109" s="69" t="s">
        <v>3760</v>
      </c>
      <c r="W109" s="56"/>
    </row>
    <row r="110" s="1" customFormat="1" ht="26.25" customHeight="1" spans="1:23">
      <c r="A110" s="28" t="s">
        <v>3902</v>
      </c>
      <c r="B110" s="29" t="s">
        <v>3697</v>
      </c>
      <c r="C110" s="30" t="s">
        <v>3703</v>
      </c>
      <c r="D110" s="83" t="s">
        <v>1105</v>
      </c>
      <c r="E110" s="30" t="s">
        <v>3905</v>
      </c>
      <c r="F110" s="32" t="s">
        <v>1105</v>
      </c>
      <c r="G110" s="33">
        <f t="shared" si="64"/>
        <v>1000</v>
      </c>
      <c r="H110" s="33">
        <v>1000</v>
      </c>
      <c r="I110" s="33"/>
      <c r="J110" s="33"/>
      <c r="K110" s="33"/>
      <c r="L110" s="33"/>
      <c r="M110" s="54">
        <f t="shared" si="65"/>
        <v>0</v>
      </c>
      <c r="N110" s="54"/>
      <c r="O110" s="54"/>
      <c r="P110" s="54"/>
      <c r="Q110" s="68">
        <f t="shared" si="66"/>
        <v>0</v>
      </c>
      <c r="R110" s="68"/>
      <c r="S110" s="68"/>
      <c r="T110" s="33">
        <v>1000</v>
      </c>
      <c r="U110" s="33">
        <f t="shared" si="67"/>
        <v>0</v>
      </c>
      <c r="V110" s="69" t="s">
        <v>3760</v>
      </c>
      <c r="W110" s="56"/>
    </row>
    <row r="111" s="1" customFormat="1" ht="26.25" customHeight="1" spans="1:23">
      <c r="A111" s="28"/>
      <c r="B111" s="29"/>
      <c r="C111" s="30">
        <v>2299999</v>
      </c>
      <c r="D111" s="85"/>
      <c r="E111" s="30"/>
      <c r="F111" s="86" t="s">
        <v>3906</v>
      </c>
      <c r="G111" s="33">
        <f t="shared" si="64"/>
        <v>0</v>
      </c>
      <c r="H111" s="33"/>
      <c r="I111" s="33"/>
      <c r="J111" s="33"/>
      <c r="K111" s="33"/>
      <c r="L111" s="33"/>
      <c r="M111" s="54">
        <f t="shared" si="65"/>
        <v>0</v>
      </c>
      <c r="N111" s="54"/>
      <c r="O111" s="54"/>
      <c r="P111" s="54"/>
      <c r="Q111" s="68">
        <f t="shared" si="66"/>
        <v>0</v>
      </c>
      <c r="R111" s="68">
        <v>2</v>
      </c>
      <c r="S111" s="73">
        <v>2</v>
      </c>
      <c r="T111" s="33"/>
      <c r="U111" s="68">
        <f t="shared" si="67"/>
        <v>0</v>
      </c>
      <c r="V111" s="71" t="s">
        <v>3907</v>
      </c>
      <c r="W111" s="94"/>
    </row>
    <row r="112" s="1" customFormat="1" ht="26.25" customHeight="1" spans="1:23">
      <c r="A112" s="16" t="s">
        <v>3908</v>
      </c>
      <c r="B112" s="23" t="s">
        <v>1409</v>
      </c>
      <c r="C112" s="24"/>
      <c r="D112" s="24"/>
      <c r="E112" s="25"/>
      <c r="F112" s="26"/>
      <c r="G112" s="27">
        <f t="shared" ref="G112:Z112" si="68">SUM(G113:G118)</f>
        <v>1592</v>
      </c>
      <c r="H112" s="27">
        <f t="shared" si="68"/>
        <v>1592</v>
      </c>
      <c r="I112" s="27">
        <f t="shared" si="68"/>
        <v>0</v>
      </c>
      <c r="J112" s="27">
        <f t="shared" si="68"/>
        <v>0</v>
      </c>
      <c r="K112" s="27">
        <f t="shared" si="68"/>
        <v>0</v>
      </c>
      <c r="L112" s="27">
        <f t="shared" si="68"/>
        <v>0</v>
      </c>
      <c r="M112" s="27">
        <f t="shared" si="68"/>
        <v>622</v>
      </c>
      <c r="N112" s="27">
        <f t="shared" si="68"/>
        <v>0</v>
      </c>
      <c r="O112" s="27">
        <f t="shared" si="68"/>
        <v>1122</v>
      </c>
      <c r="P112" s="27">
        <f t="shared" si="68"/>
        <v>500</v>
      </c>
      <c r="Q112" s="27">
        <f t="shared" si="68"/>
        <v>18.2</v>
      </c>
      <c r="R112" s="27">
        <f t="shared" si="68"/>
        <v>18.2</v>
      </c>
      <c r="S112" s="27">
        <f t="shared" si="68"/>
        <v>0</v>
      </c>
      <c r="T112" s="27">
        <f t="shared" si="68"/>
        <v>158</v>
      </c>
      <c r="U112" s="27">
        <f t="shared" si="68"/>
        <v>2074.2</v>
      </c>
      <c r="V112" s="67">
        <f t="shared" si="68"/>
        <v>0</v>
      </c>
      <c r="W112" s="56"/>
    </row>
    <row r="113" s="1" customFormat="1" ht="26.25" customHeight="1" spans="1:23">
      <c r="A113" s="28" t="s">
        <v>3909</v>
      </c>
      <c r="B113" s="29" t="s">
        <v>3718</v>
      </c>
      <c r="C113" s="49" t="s">
        <v>1857</v>
      </c>
      <c r="D113" s="50" t="s">
        <v>1858</v>
      </c>
      <c r="E113" s="87" t="s">
        <v>3910</v>
      </c>
      <c r="F113" s="35" t="s">
        <v>3911</v>
      </c>
      <c r="G113" s="33">
        <f t="shared" ref="G113:G118" si="69">SUM(H113:J113)</f>
        <v>0</v>
      </c>
      <c r="H113" s="33"/>
      <c r="I113" s="33"/>
      <c r="J113" s="33"/>
      <c r="K113" s="33"/>
      <c r="L113" s="33"/>
      <c r="M113" s="54">
        <f t="shared" ref="M113:M118" si="70">N113+O113-P113</f>
        <v>500</v>
      </c>
      <c r="N113" s="54"/>
      <c r="O113" s="54">
        <v>500</v>
      </c>
      <c r="P113" s="54"/>
      <c r="Q113" s="68">
        <f t="shared" ref="Q113:Q118" si="71">R113-S113</f>
        <v>0</v>
      </c>
      <c r="R113" s="68"/>
      <c r="S113" s="68"/>
      <c r="T113" s="33"/>
      <c r="U113" s="54">
        <f t="shared" ref="U113:U118" si="72">G113+K113+L113+M113+Q113-T113</f>
        <v>500</v>
      </c>
      <c r="V113" s="95" t="s">
        <v>3912</v>
      </c>
      <c r="W113" s="56"/>
    </row>
    <row r="114" s="1" customFormat="1" ht="26.25" customHeight="1" spans="1:23">
      <c r="A114" s="28" t="s">
        <v>3909</v>
      </c>
      <c r="B114" s="29" t="s">
        <v>3718</v>
      </c>
      <c r="C114" s="49" t="s">
        <v>1857</v>
      </c>
      <c r="D114" s="50" t="s">
        <v>1858</v>
      </c>
      <c r="E114" s="87"/>
      <c r="F114" s="35" t="s">
        <v>1012</v>
      </c>
      <c r="G114" s="33">
        <f t="shared" si="69"/>
        <v>0</v>
      </c>
      <c r="H114" s="33"/>
      <c r="I114" s="33"/>
      <c r="J114" s="33"/>
      <c r="K114" s="33"/>
      <c r="L114" s="33"/>
      <c r="M114" s="54">
        <f t="shared" si="70"/>
        <v>122</v>
      </c>
      <c r="N114" s="54"/>
      <c r="O114" s="54">
        <v>622</v>
      </c>
      <c r="P114" s="54">
        <v>500</v>
      </c>
      <c r="Q114" s="68">
        <f t="shared" si="71"/>
        <v>0</v>
      </c>
      <c r="R114" s="68"/>
      <c r="S114" s="68"/>
      <c r="T114" s="33"/>
      <c r="U114" s="54">
        <f t="shared" si="72"/>
        <v>122</v>
      </c>
      <c r="V114" s="95" t="s">
        <v>2674</v>
      </c>
      <c r="W114" s="56"/>
    </row>
    <row r="115" s="1" customFormat="1" ht="26.25" customHeight="1" spans="1:23">
      <c r="A115" s="28" t="s">
        <v>3909</v>
      </c>
      <c r="B115" s="29" t="s">
        <v>3718</v>
      </c>
      <c r="C115" s="49" t="s">
        <v>1785</v>
      </c>
      <c r="D115" s="88" t="s">
        <v>1786</v>
      </c>
      <c r="E115" s="89" t="s">
        <v>3910</v>
      </c>
      <c r="F115" s="90" t="s">
        <v>3911</v>
      </c>
      <c r="G115" s="33">
        <f t="shared" si="69"/>
        <v>0</v>
      </c>
      <c r="H115" s="33"/>
      <c r="I115" s="33"/>
      <c r="J115" s="33"/>
      <c r="K115" s="33"/>
      <c r="L115" s="33"/>
      <c r="M115" s="54">
        <f t="shared" si="70"/>
        <v>0</v>
      </c>
      <c r="N115" s="54"/>
      <c r="O115" s="54"/>
      <c r="P115" s="54"/>
      <c r="Q115" s="68">
        <f t="shared" si="71"/>
        <v>18.2</v>
      </c>
      <c r="R115" s="73">
        <v>18.2</v>
      </c>
      <c r="S115" s="68"/>
      <c r="T115" s="33"/>
      <c r="U115" s="68">
        <f t="shared" si="72"/>
        <v>18.2</v>
      </c>
      <c r="V115" s="96" t="s">
        <v>3019</v>
      </c>
      <c r="W115" s="56"/>
    </row>
    <row r="116" s="1" customFormat="1" ht="26.25" customHeight="1" spans="1:23">
      <c r="A116" s="28" t="s">
        <v>3909</v>
      </c>
      <c r="B116" s="29" t="s">
        <v>3718</v>
      </c>
      <c r="C116" s="30" t="s">
        <v>3719</v>
      </c>
      <c r="D116" s="83" t="s">
        <v>3720</v>
      </c>
      <c r="E116" s="30" t="s">
        <v>3913</v>
      </c>
      <c r="F116" s="32" t="s">
        <v>3914</v>
      </c>
      <c r="G116" s="33">
        <f t="shared" si="69"/>
        <v>922</v>
      </c>
      <c r="H116" s="33">
        <v>922</v>
      </c>
      <c r="I116" s="33"/>
      <c r="J116" s="33"/>
      <c r="K116" s="33"/>
      <c r="L116" s="33"/>
      <c r="M116" s="54">
        <f t="shared" si="70"/>
        <v>0</v>
      </c>
      <c r="N116" s="54"/>
      <c r="O116" s="54"/>
      <c r="P116" s="54"/>
      <c r="Q116" s="68">
        <f t="shared" si="71"/>
        <v>0</v>
      </c>
      <c r="R116" s="68"/>
      <c r="S116" s="68"/>
      <c r="T116" s="33"/>
      <c r="U116" s="33">
        <f t="shared" si="72"/>
        <v>922</v>
      </c>
      <c r="V116" s="69" t="s">
        <v>3760</v>
      </c>
      <c r="W116" s="56"/>
    </row>
    <row r="117" s="1" customFormat="1" ht="26.25" customHeight="1" spans="1:23">
      <c r="A117" s="28" t="s">
        <v>3909</v>
      </c>
      <c r="B117" s="29" t="s">
        <v>3718</v>
      </c>
      <c r="C117" s="30" t="s">
        <v>3723</v>
      </c>
      <c r="D117" s="83" t="s">
        <v>3724</v>
      </c>
      <c r="E117" s="30" t="s">
        <v>3915</v>
      </c>
      <c r="F117" s="32" t="s">
        <v>3916</v>
      </c>
      <c r="G117" s="33">
        <f t="shared" si="69"/>
        <v>660</v>
      </c>
      <c r="H117" s="33">
        <v>660</v>
      </c>
      <c r="I117" s="33"/>
      <c r="J117" s="33"/>
      <c r="K117" s="33"/>
      <c r="L117" s="33"/>
      <c r="M117" s="54">
        <f t="shared" si="70"/>
        <v>0</v>
      </c>
      <c r="N117" s="54"/>
      <c r="O117" s="54"/>
      <c r="P117" s="54"/>
      <c r="Q117" s="68">
        <f t="shared" si="71"/>
        <v>0</v>
      </c>
      <c r="R117" s="68"/>
      <c r="S117" s="68"/>
      <c r="T117" s="33">
        <v>158</v>
      </c>
      <c r="U117" s="33">
        <f t="shared" si="72"/>
        <v>502</v>
      </c>
      <c r="V117" s="69" t="s">
        <v>3760</v>
      </c>
      <c r="W117" s="56"/>
    </row>
    <row r="118" s="1" customFormat="1" ht="26.25" customHeight="1" spans="1:23">
      <c r="A118" s="28" t="s">
        <v>3909</v>
      </c>
      <c r="B118" s="29" t="s">
        <v>3718</v>
      </c>
      <c r="C118" s="30" t="s">
        <v>3727</v>
      </c>
      <c r="D118" s="83" t="s">
        <v>3728</v>
      </c>
      <c r="E118" s="30" t="s">
        <v>3917</v>
      </c>
      <c r="F118" s="32" t="s">
        <v>3730</v>
      </c>
      <c r="G118" s="33">
        <f t="shared" si="69"/>
        <v>10</v>
      </c>
      <c r="H118" s="33">
        <v>10</v>
      </c>
      <c r="I118" s="33"/>
      <c r="J118" s="33"/>
      <c r="K118" s="33"/>
      <c r="L118" s="33"/>
      <c r="M118" s="54">
        <f t="shared" si="70"/>
        <v>0</v>
      </c>
      <c r="N118" s="54"/>
      <c r="O118" s="54"/>
      <c r="P118" s="54"/>
      <c r="Q118" s="68">
        <f t="shared" si="71"/>
        <v>0</v>
      </c>
      <c r="R118" s="68"/>
      <c r="S118" s="68"/>
      <c r="T118" s="33"/>
      <c r="U118" s="33">
        <f t="shared" si="72"/>
        <v>10</v>
      </c>
      <c r="V118" s="69" t="s">
        <v>3760</v>
      </c>
      <c r="W118" s="56"/>
    </row>
    <row r="119" s="1" customFormat="1" ht="26.25" customHeight="1" spans="1:23">
      <c r="A119" s="16" t="s">
        <v>3918</v>
      </c>
      <c r="B119" s="23" t="s">
        <v>1411</v>
      </c>
      <c r="C119" s="24"/>
      <c r="D119" s="24"/>
      <c r="E119" s="25"/>
      <c r="F119" s="26"/>
      <c r="G119" s="27">
        <f t="shared" ref="G119:Z119" si="73">SUM(G120)</f>
        <v>38</v>
      </c>
      <c r="H119" s="27">
        <f t="shared" si="73"/>
        <v>38</v>
      </c>
      <c r="I119" s="27">
        <f t="shared" si="73"/>
        <v>0</v>
      </c>
      <c r="J119" s="27">
        <f t="shared" si="73"/>
        <v>0</v>
      </c>
      <c r="K119" s="27">
        <f t="shared" si="73"/>
        <v>0</v>
      </c>
      <c r="L119" s="27">
        <f t="shared" si="73"/>
        <v>0</v>
      </c>
      <c r="M119" s="27">
        <f t="shared" si="73"/>
        <v>0</v>
      </c>
      <c r="N119" s="27">
        <f t="shared" si="73"/>
        <v>0</v>
      </c>
      <c r="O119" s="27">
        <f t="shared" si="73"/>
        <v>0</v>
      </c>
      <c r="P119" s="27">
        <f t="shared" si="73"/>
        <v>0</v>
      </c>
      <c r="Q119" s="27">
        <f t="shared" si="73"/>
        <v>0</v>
      </c>
      <c r="R119" s="27">
        <f t="shared" si="73"/>
        <v>0</v>
      </c>
      <c r="S119" s="27">
        <f t="shared" si="73"/>
        <v>0</v>
      </c>
      <c r="T119" s="27">
        <f t="shared" si="73"/>
        <v>0</v>
      </c>
      <c r="U119" s="27">
        <f t="shared" si="73"/>
        <v>38</v>
      </c>
      <c r="V119" s="67">
        <f t="shared" si="73"/>
        <v>0</v>
      </c>
      <c r="W119" s="56"/>
    </row>
    <row r="120" s="5" customFormat="1" ht="26.25" customHeight="1" spans="1:23">
      <c r="A120" s="28" t="s">
        <v>3919</v>
      </c>
      <c r="B120" s="29" t="s">
        <v>3734</v>
      </c>
      <c r="C120" s="30" t="s">
        <v>2412</v>
      </c>
      <c r="D120" s="83" t="s">
        <v>2310</v>
      </c>
      <c r="E120" s="30" t="s">
        <v>3920</v>
      </c>
      <c r="F120" s="32" t="s">
        <v>3921</v>
      </c>
      <c r="G120" s="33">
        <f>SUM(H120:J120)</f>
        <v>38</v>
      </c>
      <c r="H120" s="33">
        <v>38</v>
      </c>
      <c r="I120" s="33"/>
      <c r="J120" s="33"/>
      <c r="K120" s="33"/>
      <c r="L120" s="33"/>
      <c r="M120" s="54">
        <f>N120+O120-P120</f>
        <v>0</v>
      </c>
      <c r="N120" s="54"/>
      <c r="O120" s="54"/>
      <c r="P120" s="54"/>
      <c r="Q120" s="68">
        <f>R120-S120</f>
        <v>0</v>
      </c>
      <c r="R120" s="68"/>
      <c r="S120" s="68"/>
      <c r="T120" s="33"/>
      <c r="U120" s="33">
        <f>G120+K120+L120+M120+Q120-T120</f>
        <v>38</v>
      </c>
      <c r="V120" s="69" t="s">
        <v>3760</v>
      </c>
      <c r="W120" s="56"/>
    </row>
    <row r="121" s="6" customFormat="1" spans="1:23">
      <c r="A121" s="7"/>
      <c r="B121" s="8"/>
      <c r="C121" s="7"/>
      <c r="D121" s="8"/>
      <c r="E121" s="8"/>
      <c r="F121" s="8"/>
      <c r="G121" s="7"/>
      <c r="H121" s="7"/>
      <c r="I121" s="7"/>
      <c r="J121" s="7"/>
      <c r="K121" s="7"/>
      <c r="L121" s="7"/>
      <c r="M121" s="7"/>
      <c r="N121" s="7"/>
      <c r="O121" s="7"/>
      <c r="P121" s="7"/>
      <c r="Q121" s="7"/>
      <c r="R121" s="7"/>
      <c r="S121" s="7"/>
      <c r="T121" s="7"/>
      <c r="U121" s="7"/>
      <c r="V121" s="57"/>
      <c r="W121" s="10"/>
    </row>
    <row r="122" s="6" customFormat="1" spans="1:23">
      <c r="A122" s="7"/>
      <c r="B122" s="8"/>
      <c r="C122" s="7"/>
      <c r="D122" s="8"/>
      <c r="E122" s="8"/>
      <c r="F122" s="8"/>
      <c r="G122" s="7"/>
      <c r="H122" s="7"/>
      <c r="I122" s="7"/>
      <c r="J122" s="7"/>
      <c r="K122" s="7"/>
      <c r="L122" s="7"/>
      <c r="M122" s="7"/>
      <c r="N122" s="7"/>
      <c r="O122" s="7"/>
      <c r="P122" s="7"/>
      <c r="Q122" s="7"/>
      <c r="R122" s="7"/>
      <c r="S122" s="7"/>
      <c r="T122" s="7"/>
      <c r="U122" s="7"/>
      <c r="V122" s="57"/>
      <c r="W122" s="10"/>
    </row>
    <row r="123" s="6" customFormat="1" spans="1:23">
      <c r="A123" s="7"/>
      <c r="B123" s="8"/>
      <c r="C123" s="7"/>
      <c r="D123" s="8"/>
      <c r="E123" s="8"/>
      <c r="F123" s="8"/>
      <c r="G123" s="7"/>
      <c r="H123" s="7"/>
      <c r="I123" s="7"/>
      <c r="J123" s="7"/>
      <c r="K123" s="7"/>
      <c r="L123" s="7"/>
      <c r="M123" s="7"/>
      <c r="N123" s="7"/>
      <c r="O123" s="7"/>
      <c r="P123" s="7"/>
      <c r="Q123" s="7"/>
      <c r="R123" s="7"/>
      <c r="S123" s="7"/>
      <c r="T123" s="7"/>
      <c r="U123" s="7"/>
      <c r="V123" s="57"/>
      <c r="W123" s="10"/>
    </row>
    <row r="124" s="6" customFormat="1" spans="1:23">
      <c r="A124" s="7"/>
      <c r="B124" s="8"/>
      <c r="C124" s="7"/>
      <c r="D124" s="8"/>
      <c r="E124" s="8"/>
      <c r="F124" s="8"/>
      <c r="G124" s="7"/>
      <c r="H124" s="7"/>
      <c r="I124" s="7"/>
      <c r="J124" s="7"/>
      <c r="K124" s="7"/>
      <c r="L124" s="7"/>
      <c r="M124" s="7"/>
      <c r="N124" s="7"/>
      <c r="O124" s="7"/>
      <c r="P124" s="7"/>
      <c r="Q124" s="7"/>
      <c r="R124" s="7"/>
      <c r="S124" s="7"/>
      <c r="T124" s="7"/>
      <c r="U124" s="7"/>
      <c r="V124" s="57"/>
      <c r="W124" s="10"/>
    </row>
    <row r="125" s="6" customFormat="1" spans="1:23">
      <c r="A125" s="7"/>
      <c r="B125" s="8"/>
      <c r="C125" s="7"/>
      <c r="D125" s="8"/>
      <c r="E125" s="8"/>
      <c r="F125" s="8"/>
      <c r="G125" s="7"/>
      <c r="H125" s="7"/>
      <c r="I125" s="7"/>
      <c r="J125" s="7"/>
      <c r="K125" s="7"/>
      <c r="L125" s="7"/>
      <c r="M125" s="7"/>
      <c r="N125" s="7"/>
      <c r="O125" s="7"/>
      <c r="P125" s="7"/>
      <c r="Q125" s="7"/>
      <c r="R125" s="7"/>
      <c r="S125" s="7"/>
      <c r="T125" s="7"/>
      <c r="U125" s="7"/>
      <c r="V125" s="57"/>
      <c r="W125" s="10"/>
    </row>
    <row r="126" s="6" customFormat="1" spans="1:23">
      <c r="A126" s="7"/>
      <c r="B126" s="8"/>
      <c r="C126" s="7"/>
      <c r="D126" s="8"/>
      <c r="E126" s="8"/>
      <c r="F126" s="8"/>
      <c r="G126" s="7"/>
      <c r="H126" s="7"/>
      <c r="I126" s="7"/>
      <c r="J126" s="7"/>
      <c r="K126" s="7"/>
      <c r="L126" s="7"/>
      <c r="M126" s="7"/>
      <c r="N126" s="7"/>
      <c r="O126" s="7"/>
      <c r="P126" s="7"/>
      <c r="Q126" s="7"/>
      <c r="R126" s="7"/>
      <c r="S126" s="7"/>
      <c r="T126" s="7"/>
      <c r="U126" s="7"/>
      <c r="V126" s="57"/>
      <c r="W126" s="10"/>
    </row>
    <row r="127" s="6" customFormat="1" spans="1:23">
      <c r="A127" s="7"/>
      <c r="B127" s="8"/>
      <c r="C127" s="7"/>
      <c r="D127" s="8"/>
      <c r="E127" s="8"/>
      <c r="F127" s="8"/>
      <c r="G127" s="7"/>
      <c r="H127" s="7"/>
      <c r="I127" s="7"/>
      <c r="J127" s="7"/>
      <c r="K127" s="7"/>
      <c r="L127" s="7"/>
      <c r="M127" s="7"/>
      <c r="N127" s="7"/>
      <c r="O127" s="7"/>
      <c r="P127" s="7"/>
      <c r="Q127" s="7"/>
      <c r="R127" s="7"/>
      <c r="S127" s="7"/>
      <c r="T127" s="7"/>
      <c r="U127" s="7"/>
      <c r="V127" s="57"/>
      <c r="W127" s="10"/>
    </row>
    <row r="128" s="6" customFormat="1" spans="1:23">
      <c r="A128" s="7"/>
      <c r="B128" s="8"/>
      <c r="C128" s="7"/>
      <c r="D128" s="8"/>
      <c r="E128" s="8"/>
      <c r="F128" s="8"/>
      <c r="G128" s="7"/>
      <c r="H128" s="7"/>
      <c r="I128" s="7"/>
      <c r="J128" s="7"/>
      <c r="K128" s="7"/>
      <c r="L128" s="7"/>
      <c r="M128" s="7"/>
      <c r="N128" s="7"/>
      <c r="O128" s="7"/>
      <c r="P128" s="7"/>
      <c r="Q128" s="7"/>
      <c r="R128" s="7"/>
      <c r="S128" s="7"/>
      <c r="T128" s="7"/>
      <c r="U128" s="7"/>
      <c r="V128" s="57"/>
      <c r="W128" s="10"/>
    </row>
    <row r="129" s="6" customFormat="1" spans="1:23">
      <c r="A129" s="7"/>
      <c r="B129" s="8"/>
      <c r="C129" s="7"/>
      <c r="D129" s="8"/>
      <c r="E129" s="8"/>
      <c r="F129" s="8"/>
      <c r="G129" s="7"/>
      <c r="H129" s="7"/>
      <c r="I129" s="7"/>
      <c r="J129" s="7"/>
      <c r="K129" s="7"/>
      <c r="L129" s="7"/>
      <c r="M129" s="7"/>
      <c r="N129" s="7"/>
      <c r="O129" s="7"/>
      <c r="P129" s="7"/>
      <c r="Q129" s="7"/>
      <c r="R129" s="7"/>
      <c r="S129" s="7"/>
      <c r="T129" s="7"/>
      <c r="U129" s="7"/>
      <c r="V129" s="57"/>
      <c r="W129" s="10"/>
    </row>
    <row r="130" s="6" customFormat="1" spans="1:23">
      <c r="A130" s="7"/>
      <c r="B130" s="8"/>
      <c r="C130" s="7"/>
      <c r="D130" s="8"/>
      <c r="E130" s="8"/>
      <c r="F130" s="8"/>
      <c r="G130" s="7"/>
      <c r="H130" s="7"/>
      <c r="I130" s="7"/>
      <c r="J130" s="7"/>
      <c r="K130" s="7"/>
      <c r="L130" s="7"/>
      <c r="M130" s="7"/>
      <c r="N130" s="7"/>
      <c r="O130" s="7"/>
      <c r="P130" s="7"/>
      <c r="Q130" s="7"/>
      <c r="R130" s="7"/>
      <c r="S130" s="7"/>
      <c r="T130" s="7"/>
      <c r="U130" s="7"/>
      <c r="V130" s="57"/>
      <c r="W130" s="10"/>
    </row>
    <row r="131" s="6" customFormat="1" spans="1:23">
      <c r="A131" s="7"/>
      <c r="B131" s="8"/>
      <c r="C131" s="7"/>
      <c r="D131" s="8"/>
      <c r="E131" s="8"/>
      <c r="F131" s="8"/>
      <c r="G131" s="7"/>
      <c r="H131" s="7"/>
      <c r="I131" s="7"/>
      <c r="J131" s="7"/>
      <c r="K131" s="7"/>
      <c r="L131" s="7"/>
      <c r="M131" s="7"/>
      <c r="N131" s="7"/>
      <c r="O131" s="7"/>
      <c r="P131" s="7"/>
      <c r="Q131" s="7"/>
      <c r="R131" s="7"/>
      <c r="S131" s="7"/>
      <c r="T131" s="7"/>
      <c r="U131" s="7"/>
      <c r="V131" s="57"/>
      <c r="W131" s="10"/>
    </row>
    <row r="132" s="6" customFormat="1" spans="1:23">
      <c r="A132" s="7"/>
      <c r="B132" s="8"/>
      <c r="C132" s="7"/>
      <c r="D132" s="8"/>
      <c r="E132" s="8"/>
      <c r="F132" s="8"/>
      <c r="G132" s="7"/>
      <c r="H132" s="7"/>
      <c r="I132" s="7"/>
      <c r="J132" s="7"/>
      <c r="K132" s="7"/>
      <c r="L132" s="7"/>
      <c r="M132" s="7"/>
      <c r="N132" s="7"/>
      <c r="O132" s="7"/>
      <c r="P132" s="7"/>
      <c r="Q132" s="7"/>
      <c r="R132" s="7"/>
      <c r="S132" s="7"/>
      <c r="T132" s="7"/>
      <c r="U132" s="7"/>
      <c r="V132" s="57"/>
      <c r="W132" s="10"/>
    </row>
    <row r="133" s="6" customFormat="1" spans="1:23">
      <c r="A133" s="7"/>
      <c r="B133" s="8"/>
      <c r="C133" s="7"/>
      <c r="D133" s="8"/>
      <c r="E133" s="8"/>
      <c r="F133" s="8"/>
      <c r="G133" s="7"/>
      <c r="H133" s="7"/>
      <c r="I133" s="7"/>
      <c r="J133" s="7"/>
      <c r="K133" s="7"/>
      <c r="L133" s="7"/>
      <c r="M133" s="7"/>
      <c r="N133" s="7"/>
      <c r="O133" s="7"/>
      <c r="P133" s="7"/>
      <c r="Q133" s="7"/>
      <c r="R133" s="7"/>
      <c r="S133" s="7"/>
      <c r="T133" s="7"/>
      <c r="U133" s="7"/>
      <c r="V133" s="57"/>
      <c r="W133" s="10"/>
    </row>
    <row r="134" s="6" customFormat="1" spans="1:23">
      <c r="A134" s="7"/>
      <c r="B134" s="8"/>
      <c r="C134" s="7"/>
      <c r="D134" s="8"/>
      <c r="E134" s="8"/>
      <c r="F134" s="8"/>
      <c r="G134" s="7"/>
      <c r="H134" s="7"/>
      <c r="I134" s="7"/>
      <c r="J134" s="7"/>
      <c r="K134" s="7"/>
      <c r="L134" s="7"/>
      <c r="M134" s="7"/>
      <c r="N134" s="7"/>
      <c r="O134" s="7"/>
      <c r="P134" s="7"/>
      <c r="Q134" s="7"/>
      <c r="R134" s="7"/>
      <c r="S134" s="7"/>
      <c r="T134" s="7"/>
      <c r="U134" s="7"/>
      <c r="V134" s="57"/>
      <c r="W134" s="10"/>
    </row>
    <row r="135" s="6" customFormat="1" spans="1:23">
      <c r="A135" s="7"/>
      <c r="B135" s="8"/>
      <c r="C135" s="7"/>
      <c r="D135" s="8"/>
      <c r="E135" s="8"/>
      <c r="F135" s="8"/>
      <c r="G135" s="7"/>
      <c r="H135" s="7"/>
      <c r="I135" s="7"/>
      <c r="J135" s="7"/>
      <c r="K135" s="7"/>
      <c r="L135" s="7"/>
      <c r="M135" s="7"/>
      <c r="N135" s="7"/>
      <c r="O135" s="7"/>
      <c r="P135" s="7"/>
      <c r="Q135" s="7"/>
      <c r="R135" s="7"/>
      <c r="S135" s="7"/>
      <c r="T135" s="7"/>
      <c r="U135" s="7"/>
      <c r="V135" s="57"/>
      <c r="W135" s="10"/>
    </row>
    <row r="136" s="6" customFormat="1" spans="1:23">
      <c r="A136" s="7"/>
      <c r="B136" s="8"/>
      <c r="C136" s="7"/>
      <c r="D136" s="8"/>
      <c r="E136" s="8"/>
      <c r="F136" s="8"/>
      <c r="G136" s="7"/>
      <c r="H136" s="7"/>
      <c r="I136" s="7"/>
      <c r="J136" s="7"/>
      <c r="K136" s="7"/>
      <c r="L136" s="7"/>
      <c r="M136" s="7"/>
      <c r="N136" s="7"/>
      <c r="O136" s="7"/>
      <c r="P136" s="7"/>
      <c r="Q136" s="7"/>
      <c r="R136" s="7"/>
      <c r="S136" s="7"/>
      <c r="T136" s="7"/>
      <c r="U136" s="7"/>
      <c r="V136" s="57"/>
      <c r="W136" s="10"/>
    </row>
    <row r="137" s="6" customFormat="1" spans="1:23">
      <c r="A137" s="7"/>
      <c r="B137" s="8"/>
      <c r="C137" s="7"/>
      <c r="D137" s="8"/>
      <c r="E137" s="8"/>
      <c r="F137" s="8"/>
      <c r="G137" s="7"/>
      <c r="H137" s="7"/>
      <c r="I137" s="7"/>
      <c r="J137" s="7"/>
      <c r="K137" s="7"/>
      <c r="L137" s="7"/>
      <c r="M137" s="7"/>
      <c r="N137" s="7"/>
      <c r="O137" s="7"/>
      <c r="P137" s="7"/>
      <c r="Q137" s="7"/>
      <c r="R137" s="7"/>
      <c r="S137" s="7"/>
      <c r="T137" s="7"/>
      <c r="U137" s="7"/>
      <c r="V137" s="57"/>
      <c r="W137" s="10"/>
    </row>
    <row r="138" s="6" customFormat="1" spans="1:23">
      <c r="A138" s="7"/>
      <c r="B138" s="8"/>
      <c r="C138" s="7"/>
      <c r="D138" s="8"/>
      <c r="E138" s="8"/>
      <c r="F138" s="8"/>
      <c r="G138" s="7"/>
      <c r="H138" s="7"/>
      <c r="I138" s="7"/>
      <c r="J138" s="7"/>
      <c r="K138" s="7"/>
      <c r="L138" s="7"/>
      <c r="M138" s="7"/>
      <c r="N138" s="7"/>
      <c r="O138" s="7"/>
      <c r="P138" s="7"/>
      <c r="Q138" s="7"/>
      <c r="R138" s="7"/>
      <c r="S138" s="7"/>
      <c r="T138" s="7"/>
      <c r="U138" s="7"/>
      <c r="V138" s="57"/>
      <c r="W138" s="10"/>
    </row>
    <row r="139" s="6" customFormat="1" spans="1:23">
      <c r="A139" s="7"/>
      <c r="B139" s="8"/>
      <c r="C139" s="7"/>
      <c r="D139" s="8"/>
      <c r="E139" s="8"/>
      <c r="F139" s="8"/>
      <c r="G139" s="7"/>
      <c r="H139" s="7"/>
      <c r="I139" s="7"/>
      <c r="J139" s="7"/>
      <c r="K139" s="7"/>
      <c r="L139" s="7"/>
      <c r="M139" s="7"/>
      <c r="N139" s="7"/>
      <c r="O139" s="7"/>
      <c r="P139" s="7"/>
      <c r="Q139" s="7"/>
      <c r="R139" s="7"/>
      <c r="S139" s="7"/>
      <c r="T139" s="7"/>
      <c r="U139" s="7"/>
      <c r="V139" s="57"/>
      <c r="W139" s="10"/>
    </row>
    <row r="140" s="6" customFormat="1" spans="1:23">
      <c r="A140" s="7"/>
      <c r="B140" s="8"/>
      <c r="C140" s="7"/>
      <c r="D140" s="8"/>
      <c r="E140" s="8"/>
      <c r="F140" s="8"/>
      <c r="G140" s="7"/>
      <c r="H140" s="7"/>
      <c r="I140" s="7"/>
      <c r="J140" s="7"/>
      <c r="K140" s="7"/>
      <c r="L140" s="7"/>
      <c r="M140" s="7"/>
      <c r="N140" s="7"/>
      <c r="O140" s="7"/>
      <c r="P140" s="7"/>
      <c r="Q140" s="7"/>
      <c r="R140" s="7"/>
      <c r="S140" s="7"/>
      <c r="T140" s="7"/>
      <c r="U140" s="7"/>
      <c r="V140" s="57"/>
      <c r="W140" s="10"/>
    </row>
    <row r="141" s="6" customFormat="1" spans="1:23">
      <c r="A141" s="7"/>
      <c r="B141" s="8"/>
      <c r="C141" s="7"/>
      <c r="D141" s="8"/>
      <c r="E141" s="8"/>
      <c r="F141" s="8"/>
      <c r="G141" s="7"/>
      <c r="H141" s="7"/>
      <c r="I141" s="7"/>
      <c r="J141" s="7"/>
      <c r="K141" s="7"/>
      <c r="L141" s="7"/>
      <c r="M141" s="7"/>
      <c r="N141" s="7"/>
      <c r="O141" s="7"/>
      <c r="P141" s="7"/>
      <c r="Q141" s="7"/>
      <c r="R141" s="7"/>
      <c r="S141" s="7"/>
      <c r="T141" s="7"/>
      <c r="U141" s="7"/>
      <c r="V141" s="57"/>
      <c r="W141" s="10"/>
    </row>
    <row r="142" s="6" customFormat="1" spans="1:23">
      <c r="A142" s="7"/>
      <c r="B142" s="8"/>
      <c r="C142" s="7"/>
      <c r="D142" s="8"/>
      <c r="E142" s="8"/>
      <c r="F142" s="8"/>
      <c r="G142" s="7"/>
      <c r="H142" s="7"/>
      <c r="I142" s="7"/>
      <c r="J142" s="7"/>
      <c r="K142" s="7"/>
      <c r="L142" s="7"/>
      <c r="M142" s="7"/>
      <c r="N142" s="7"/>
      <c r="O142" s="7"/>
      <c r="P142" s="7"/>
      <c r="Q142" s="7"/>
      <c r="R142" s="7"/>
      <c r="S142" s="7"/>
      <c r="T142" s="7"/>
      <c r="U142" s="7"/>
      <c r="V142" s="57"/>
      <c r="W142" s="10"/>
    </row>
    <row r="143" s="6" customFormat="1" spans="1:23">
      <c r="A143" s="7"/>
      <c r="B143" s="8"/>
      <c r="C143" s="7"/>
      <c r="D143" s="8"/>
      <c r="E143" s="8"/>
      <c r="F143" s="8"/>
      <c r="G143" s="7"/>
      <c r="H143" s="7"/>
      <c r="I143" s="7"/>
      <c r="J143" s="7"/>
      <c r="K143" s="7"/>
      <c r="L143" s="7"/>
      <c r="M143" s="7"/>
      <c r="N143" s="7"/>
      <c r="O143" s="7"/>
      <c r="P143" s="7"/>
      <c r="Q143" s="7"/>
      <c r="R143" s="7"/>
      <c r="S143" s="7"/>
      <c r="T143" s="7"/>
      <c r="U143" s="7"/>
      <c r="V143" s="57"/>
      <c r="W143" s="10"/>
    </row>
    <row r="144" s="6" customFormat="1" spans="1:23">
      <c r="A144" s="7"/>
      <c r="B144" s="8"/>
      <c r="C144" s="7"/>
      <c r="D144" s="8"/>
      <c r="E144" s="8"/>
      <c r="F144" s="8"/>
      <c r="G144" s="7"/>
      <c r="H144" s="7"/>
      <c r="I144" s="7"/>
      <c r="J144" s="7"/>
      <c r="K144" s="7"/>
      <c r="L144" s="7"/>
      <c r="M144" s="7"/>
      <c r="N144" s="7"/>
      <c r="O144" s="7"/>
      <c r="P144" s="7"/>
      <c r="Q144" s="7"/>
      <c r="R144" s="7"/>
      <c r="S144" s="7"/>
      <c r="T144" s="7"/>
      <c r="U144" s="7"/>
      <c r="V144" s="57"/>
      <c r="W144" s="10"/>
    </row>
    <row r="145" s="6" customFormat="1" spans="1:23">
      <c r="A145" s="7"/>
      <c r="B145" s="8"/>
      <c r="C145" s="7"/>
      <c r="D145" s="8"/>
      <c r="E145" s="8"/>
      <c r="F145" s="8"/>
      <c r="G145" s="7"/>
      <c r="H145" s="7"/>
      <c r="I145" s="7"/>
      <c r="J145" s="7"/>
      <c r="K145" s="7"/>
      <c r="L145" s="7"/>
      <c r="M145" s="7"/>
      <c r="N145" s="7"/>
      <c r="O145" s="7"/>
      <c r="P145" s="7"/>
      <c r="Q145" s="7"/>
      <c r="R145" s="7"/>
      <c r="S145" s="7"/>
      <c r="T145" s="7"/>
      <c r="U145" s="7"/>
      <c r="V145" s="57"/>
      <c r="W145" s="10"/>
    </row>
    <row r="146" s="6" customFormat="1" spans="1:23">
      <c r="A146" s="7"/>
      <c r="B146" s="8"/>
      <c r="C146" s="7"/>
      <c r="D146" s="8"/>
      <c r="E146" s="8"/>
      <c r="F146" s="8"/>
      <c r="G146" s="7"/>
      <c r="H146" s="7"/>
      <c r="I146" s="7"/>
      <c r="J146" s="7"/>
      <c r="K146" s="7"/>
      <c r="L146" s="7"/>
      <c r="M146" s="7"/>
      <c r="N146" s="7"/>
      <c r="O146" s="7"/>
      <c r="P146" s="7"/>
      <c r="Q146" s="7"/>
      <c r="R146" s="7"/>
      <c r="S146" s="7"/>
      <c r="T146" s="7"/>
      <c r="U146" s="7"/>
      <c r="V146" s="57"/>
      <c r="W146" s="10"/>
    </row>
    <row r="147" s="6" customFormat="1" spans="1:23">
      <c r="A147" s="7"/>
      <c r="B147" s="8"/>
      <c r="C147" s="7"/>
      <c r="D147" s="8"/>
      <c r="E147" s="8"/>
      <c r="F147" s="8"/>
      <c r="G147" s="7"/>
      <c r="H147" s="7"/>
      <c r="I147" s="7"/>
      <c r="J147" s="7"/>
      <c r="K147" s="7"/>
      <c r="L147" s="7"/>
      <c r="M147" s="7"/>
      <c r="N147" s="7"/>
      <c r="O147" s="7"/>
      <c r="P147" s="7"/>
      <c r="Q147" s="7"/>
      <c r="R147" s="7"/>
      <c r="S147" s="7"/>
      <c r="T147" s="7"/>
      <c r="U147" s="7"/>
      <c r="V147" s="57"/>
      <c r="W147" s="10"/>
    </row>
    <row r="148" s="6" customFormat="1" spans="1:23">
      <c r="A148" s="7"/>
      <c r="B148" s="8"/>
      <c r="C148" s="7"/>
      <c r="D148" s="8"/>
      <c r="E148" s="8"/>
      <c r="F148" s="8"/>
      <c r="G148" s="7"/>
      <c r="H148" s="7"/>
      <c r="I148" s="7"/>
      <c r="J148" s="7"/>
      <c r="K148" s="7"/>
      <c r="L148" s="7"/>
      <c r="M148" s="7"/>
      <c r="N148" s="7"/>
      <c r="O148" s="7"/>
      <c r="P148" s="7"/>
      <c r="Q148" s="7"/>
      <c r="R148" s="7"/>
      <c r="S148" s="7"/>
      <c r="T148" s="7"/>
      <c r="U148" s="7"/>
      <c r="V148" s="57"/>
      <c r="W148" s="10"/>
    </row>
    <row r="149" s="6" customFormat="1" spans="1:23">
      <c r="A149" s="7"/>
      <c r="B149" s="8"/>
      <c r="C149" s="7"/>
      <c r="D149" s="8"/>
      <c r="E149" s="8"/>
      <c r="F149" s="8"/>
      <c r="G149" s="7"/>
      <c r="H149" s="7"/>
      <c r="I149" s="7"/>
      <c r="J149" s="7"/>
      <c r="K149" s="7"/>
      <c r="L149" s="7"/>
      <c r="M149" s="7"/>
      <c r="N149" s="7"/>
      <c r="O149" s="7"/>
      <c r="P149" s="7"/>
      <c r="Q149" s="7"/>
      <c r="R149" s="7"/>
      <c r="S149" s="7"/>
      <c r="T149" s="7"/>
      <c r="U149" s="7"/>
      <c r="V149" s="57"/>
      <c r="W149" s="10"/>
    </row>
    <row r="150" s="6" customFormat="1" spans="1:23">
      <c r="A150" s="7"/>
      <c r="B150" s="8"/>
      <c r="C150" s="7"/>
      <c r="D150" s="8"/>
      <c r="E150" s="8"/>
      <c r="F150" s="8"/>
      <c r="G150" s="7"/>
      <c r="H150" s="7"/>
      <c r="I150" s="7"/>
      <c r="J150" s="7"/>
      <c r="K150" s="7"/>
      <c r="L150" s="7"/>
      <c r="M150" s="7"/>
      <c r="N150" s="7"/>
      <c r="O150" s="7"/>
      <c r="P150" s="7"/>
      <c r="Q150" s="7"/>
      <c r="R150" s="7"/>
      <c r="S150" s="7"/>
      <c r="T150" s="7"/>
      <c r="U150" s="7"/>
      <c r="V150" s="57"/>
      <c r="W150" s="10"/>
    </row>
    <row r="151" s="6" customFormat="1" spans="1:23">
      <c r="A151" s="7"/>
      <c r="B151" s="8"/>
      <c r="C151" s="7"/>
      <c r="D151" s="8"/>
      <c r="E151" s="8"/>
      <c r="F151" s="8"/>
      <c r="G151" s="7"/>
      <c r="H151" s="7"/>
      <c r="I151" s="7"/>
      <c r="J151" s="7"/>
      <c r="K151" s="7"/>
      <c r="L151" s="7"/>
      <c r="M151" s="7"/>
      <c r="N151" s="7"/>
      <c r="O151" s="7"/>
      <c r="P151" s="7"/>
      <c r="Q151" s="7"/>
      <c r="R151" s="7"/>
      <c r="S151" s="7"/>
      <c r="T151" s="7"/>
      <c r="U151" s="7"/>
      <c r="V151" s="57"/>
      <c r="W151" s="10"/>
    </row>
    <row r="152" s="6" customFormat="1" spans="1:23">
      <c r="A152" s="7"/>
      <c r="B152" s="8"/>
      <c r="C152" s="7"/>
      <c r="D152" s="8"/>
      <c r="E152" s="8"/>
      <c r="F152" s="8"/>
      <c r="G152" s="7"/>
      <c r="H152" s="7"/>
      <c r="I152" s="7"/>
      <c r="J152" s="7"/>
      <c r="K152" s="7"/>
      <c r="L152" s="7"/>
      <c r="M152" s="7"/>
      <c r="N152" s="7"/>
      <c r="O152" s="7"/>
      <c r="P152" s="7"/>
      <c r="Q152" s="7"/>
      <c r="R152" s="7"/>
      <c r="S152" s="7"/>
      <c r="T152" s="7"/>
      <c r="U152" s="7"/>
      <c r="V152" s="57"/>
      <c r="W152" s="10"/>
    </row>
    <row r="153" s="6" customFormat="1" spans="1:23">
      <c r="A153" s="7"/>
      <c r="B153" s="8"/>
      <c r="C153" s="7"/>
      <c r="D153" s="8"/>
      <c r="E153" s="8"/>
      <c r="F153" s="8"/>
      <c r="G153" s="7"/>
      <c r="H153" s="7"/>
      <c r="I153" s="7"/>
      <c r="J153" s="7"/>
      <c r="K153" s="7"/>
      <c r="L153" s="7"/>
      <c r="M153" s="7"/>
      <c r="N153" s="7"/>
      <c r="O153" s="7"/>
      <c r="P153" s="7"/>
      <c r="Q153" s="7"/>
      <c r="R153" s="7"/>
      <c r="S153" s="7"/>
      <c r="T153" s="7"/>
      <c r="U153" s="7"/>
      <c r="V153" s="57"/>
      <c r="W153" s="10"/>
    </row>
    <row r="154" s="6" customFormat="1" spans="1:23">
      <c r="A154" s="7"/>
      <c r="B154" s="8"/>
      <c r="C154" s="7"/>
      <c r="D154" s="8"/>
      <c r="E154" s="8"/>
      <c r="F154" s="8"/>
      <c r="G154" s="7"/>
      <c r="H154" s="7"/>
      <c r="I154" s="7"/>
      <c r="J154" s="7"/>
      <c r="K154" s="7"/>
      <c r="L154" s="7"/>
      <c r="M154" s="7"/>
      <c r="N154" s="7"/>
      <c r="O154" s="7"/>
      <c r="P154" s="7"/>
      <c r="Q154" s="7"/>
      <c r="R154" s="7"/>
      <c r="S154" s="7"/>
      <c r="T154" s="7"/>
      <c r="U154" s="7"/>
      <c r="V154" s="57"/>
      <c r="W154" s="10"/>
    </row>
    <row r="155" s="6" customFormat="1" spans="1:23">
      <c r="A155" s="7"/>
      <c r="B155" s="8"/>
      <c r="C155" s="7"/>
      <c r="D155" s="8"/>
      <c r="E155" s="8"/>
      <c r="F155" s="8"/>
      <c r="G155" s="7"/>
      <c r="H155" s="7"/>
      <c r="I155" s="7"/>
      <c r="J155" s="7"/>
      <c r="K155" s="7"/>
      <c r="L155" s="7"/>
      <c r="M155" s="7"/>
      <c r="N155" s="7"/>
      <c r="O155" s="7"/>
      <c r="P155" s="7"/>
      <c r="Q155" s="7"/>
      <c r="R155" s="7"/>
      <c r="S155" s="7"/>
      <c r="T155" s="7"/>
      <c r="U155" s="7"/>
      <c r="V155" s="57"/>
      <c r="W155" s="10"/>
    </row>
    <row r="156" s="6" customFormat="1" spans="1:23">
      <c r="A156" s="7"/>
      <c r="B156" s="8"/>
      <c r="C156" s="7"/>
      <c r="D156" s="8"/>
      <c r="E156" s="8"/>
      <c r="F156" s="8"/>
      <c r="G156" s="7"/>
      <c r="H156" s="7"/>
      <c r="I156" s="7"/>
      <c r="J156" s="7"/>
      <c r="K156" s="7"/>
      <c r="L156" s="7"/>
      <c r="M156" s="7"/>
      <c r="N156" s="7"/>
      <c r="O156" s="7"/>
      <c r="P156" s="7"/>
      <c r="Q156" s="7"/>
      <c r="R156" s="7"/>
      <c r="S156" s="7"/>
      <c r="T156" s="7"/>
      <c r="U156" s="7"/>
      <c r="V156" s="57"/>
      <c r="W156" s="10"/>
    </row>
    <row r="157" s="6" customFormat="1" spans="1:23">
      <c r="A157" s="7"/>
      <c r="B157" s="8"/>
      <c r="C157" s="7"/>
      <c r="D157" s="8"/>
      <c r="E157" s="8"/>
      <c r="F157" s="8"/>
      <c r="G157" s="7"/>
      <c r="H157" s="7"/>
      <c r="I157" s="7"/>
      <c r="J157" s="7"/>
      <c r="K157" s="7"/>
      <c r="L157" s="7"/>
      <c r="M157" s="7"/>
      <c r="N157" s="7"/>
      <c r="O157" s="7"/>
      <c r="P157" s="7"/>
      <c r="Q157" s="7"/>
      <c r="R157" s="7"/>
      <c r="S157" s="7"/>
      <c r="T157" s="7"/>
      <c r="U157" s="7"/>
      <c r="V157" s="57"/>
      <c r="W157" s="10"/>
    </row>
    <row r="158" s="6" customFormat="1" spans="1:23">
      <c r="A158" s="7"/>
      <c r="B158" s="8"/>
      <c r="C158" s="7"/>
      <c r="D158" s="8"/>
      <c r="E158" s="8"/>
      <c r="F158" s="8"/>
      <c r="G158" s="7"/>
      <c r="H158" s="7"/>
      <c r="I158" s="7"/>
      <c r="J158" s="7"/>
      <c r="K158" s="7"/>
      <c r="L158" s="7"/>
      <c r="M158" s="7"/>
      <c r="N158" s="7"/>
      <c r="O158" s="7"/>
      <c r="P158" s="7"/>
      <c r="Q158" s="7"/>
      <c r="R158" s="7"/>
      <c r="S158" s="7"/>
      <c r="T158" s="7"/>
      <c r="U158" s="7"/>
      <c r="V158" s="57"/>
      <c r="W158" s="10"/>
    </row>
    <row r="159" s="6" customFormat="1" spans="1:23">
      <c r="A159" s="7"/>
      <c r="B159" s="8"/>
      <c r="C159" s="7"/>
      <c r="D159" s="8"/>
      <c r="E159" s="8"/>
      <c r="F159" s="8"/>
      <c r="G159" s="7"/>
      <c r="H159" s="7"/>
      <c r="I159" s="7"/>
      <c r="J159" s="7"/>
      <c r="K159" s="7"/>
      <c r="L159" s="7"/>
      <c r="M159" s="7"/>
      <c r="N159" s="7"/>
      <c r="O159" s="7"/>
      <c r="P159" s="7"/>
      <c r="Q159" s="7"/>
      <c r="R159" s="7"/>
      <c r="S159" s="7"/>
      <c r="T159" s="7"/>
      <c r="U159" s="7"/>
      <c r="V159" s="57"/>
      <c r="W159" s="10"/>
    </row>
    <row r="160" s="6" customFormat="1" spans="1:23">
      <c r="A160" s="7"/>
      <c r="B160" s="8"/>
      <c r="C160" s="7"/>
      <c r="D160" s="8"/>
      <c r="E160" s="8"/>
      <c r="F160" s="8"/>
      <c r="G160" s="7"/>
      <c r="H160" s="7"/>
      <c r="I160" s="7"/>
      <c r="J160" s="7"/>
      <c r="K160" s="7"/>
      <c r="L160" s="7"/>
      <c r="M160" s="7"/>
      <c r="N160" s="7"/>
      <c r="O160" s="7"/>
      <c r="P160" s="7"/>
      <c r="Q160" s="7"/>
      <c r="R160" s="7"/>
      <c r="S160" s="7"/>
      <c r="T160" s="7"/>
      <c r="U160" s="7"/>
      <c r="V160" s="57"/>
      <c r="W160" s="10"/>
    </row>
    <row r="161" s="6" customFormat="1" spans="1:23">
      <c r="A161" s="7"/>
      <c r="B161" s="8"/>
      <c r="C161" s="7"/>
      <c r="D161" s="8"/>
      <c r="E161" s="8"/>
      <c r="F161" s="8"/>
      <c r="G161" s="7"/>
      <c r="H161" s="7"/>
      <c r="I161" s="7"/>
      <c r="J161" s="7"/>
      <c r="K161" s="7"/>
      <c r="L161" s="7"/>
      <c r="M161" s="7"/>
      <c r="N161" s="7"/>
      <c r="O161" s="7"/>
      <c r="P161" s="7"/>
      <c r="Q161" s="7"/>
      <c r="R161" s="7"/>
      <c r="S161" s="7"/>
      <c r="T161" s="7"/>
      <c r="U161" s="7"/>
      <c r="V161" s="57"/>
      <c r="W161" s="10"/>
    </row>
    <row r="162" s="6" customFormat="1" spans="1:23">
      <c r="A162" s="7"/>
      <c r="B162" s="8"/>
      <c r="C162" s="7"/>
      <c r="D162" s="8"/>
      <c r="E162" s="8"/>
      <c r="F162" s="8"/>
      <c r="G162" s="7"/>
      <c r="H162" s="7"/>
      <c r="I162" s="7"/>
      <c r="J162" s="7"/>
      <c r="K162" s="7"/>
      <c r="L162" s="7"/>
      <c r="M162" s="7"/>
      <c r="N162" s="7"/>
      <c r="O162" s="7"/>
      <c r="P162" s="7"/>
      <c r="Q162" s="7"/>
      <c r="R162" s="7"/>
      <c r="S162" s="7"/>
      <c r="T162" s="7"/>
      <c r="U162" s="7"/>
      <c r="V162" s="57"/>
      <c r="W162" s="10"/>
    </row>
    <row r="163" s="6" customFormat="1" spans="1:23">
      <c r="A163" s="7"/>
      <c r="B163" s="8"/>
      <c r="C163" s="7"/>
      <c r="D163" s="8"/>
      <c r="E163" s="8"/>
      <c r="F163" s="8"/>
      <c r="G163" s="7"/>
      <c r="H163" s="7"/>
      <c r="I163" s="7"/>
      <c r="J163" s="7"/>
      <c r="K163" s="7"/>
      <c r="L163" s="7"/>
      <c r="M163" s="7"/>
      <c r="N163" s="7"/>
      <c r="O163" s="7"/>
      <c r="P163" s="7"/>
      <c r="Q163" s="7"/>
      <c r="R163" s="7"/>
      <c r="S163" s="7"/>
      <c r="T163" s="7"/>
      <c r="U163" s="7"/>
      <c r="V163" s="57"/>
      <c r="W163" s="10"/>
    </row>
    <row r="164" s="6" customFormat="1" spans="1:23">
      <c r="A164" s="7"/>
      <c r="B164" s="8"/>
      <c r="C164" s="7"/>
      <c r="D164" s="8"/>
      <c r="E164" s="8"/>
      <c r="F164" s="8"/>
      <c r="G164" s="7"/>
      <c r="H164" s="7"/>
      <c r="I164" s="7"/>
      <c r="J164" s="7"/>
      <c r="K164" s="7"/>
      <c r="L164" s="7"/>
      <c r="M164" s="7"/>
      <c r="N164" s="7"/>
      <c r="O164" s="7"/>
      <c r="P164" s="7"/>
      <c r="Q164" s="7"/>
      <c r="R164" s="7"/>
      <c r="S164" s="7"/>
      <c r="T164" s="7"/>
      <c r="U164" s="7"/>
      <c r="V164" s="57"/>
      <c r="W164" s="10"/>
    </row>
    <row r="165" s="6" customFormat="1" spans="1:23">
      <c r="A165" s="7"/>
      <c r="B165" s="8"/>
      <c r="C165" s="7"/>
      <c r="D165" s="8"/>
      <c r="E165" s="8"/>
      <c r="F165" s="8"/>
      <c r="G165" s="7"/>
      <c r="H165" s="7"/>
      <c r="I165" s="7"/>
      <c r="J165" s="7"/>
      <c r="K165" s="7"/>
      <c r="L165" s="7"/>
      <c r="M165" s="7"/>
      <c r="N165" s="7"/>
      <c r="O165" s="7"/>
      <c r="P165" s="7"/>
      <c r="Q165" s="7"/>
      <c r="R165" s="7"/>
      <c r="S165" s="7"/>
      <c r="T165" s="7"/>
      <c r="U165" s="7"/>
      <c r="V165" s="57"/>
      <c r="W165" s="10"/>
    </row>
    <row r="166" s="6" customFormat="1" spans="1:23">
      <c r="A166" s="7"/>
      <c r="B166" s="8"/>
      <c r="C166" s="7"/>
      <c r="D166" s="8"/>
      <c r="E166" s="8"/>
      <c r="F166" s="8"/>
      <c r="G166" s="7"/>
      <c r="H166" s="7"/>
      <c r="I166" s="7"/>
      <c r="J166" s="7"/>
      <c r="K166" s="7"/>
      <c r="L166" s="7"/>
      <c r="M166" s="7"/>
      <c r="N166" s="7"/>
      <c r="O166" s="7"/>
      <c r="P166" s="7"/>
      <c r="Q166" s="7"/>
      <c r="R166" s="7"/>
      <c r="S166" s="7"/>
      <c r="T166" s="7"/>
      <c r="U166" s="7"/>
      <c r="V166" s="57"/>
      <c r="W166" s="10"/>
    </row>
    <row r="167" s="6" customFormat="1" spans="1:23">
      <c r="A167" s="7"/>
      <c r="B167" s="8"/>
      <c r="C167" s="7"/>
      <c r="D167" s="8"/>
      <c r="E167" s="8"/>
      <c r="F167" s="8"/>
      <c r="G167" s="7"/>
      <c r="H167" s="7"/>
      <c r="I167" s="7"/>
      <c r="J167" s="7"/>
      <c r="K167" s="7"/>
      <c r="L167" s="7"/>
      <c r="M167" s="7"/>
      <c r="N167" s="7"/>
      <c r="O167" s="7"/>
      <c r="P167" s="7"/>
      <c r="Q167" s="7"/>
      <c r="R167" s="7"/>
      <c r="S167" s="7"/>
      <c r="T167" s="7"/>
      <c r="U167" s="7"/>
      <c r="V167" s="57"/>
      <c r="W167" s="10"/>
    </row>
    <row r="168" s="6" customFormat="1" spans="1:23">
      <c r="A168" s="7"/>
      <c r="B168" s="8"/>
      <c r="C168" s="7"/>
      <c r="D168" s="8"/>
      <c r="E168" s="8"/>
      <c r="F168" s="8"/>
      <c r="G168" s="7"/>
      <c r="H168" s="7"/>
      <c r="I168" s="7"/>
      <c r="J168" s="7"/>
      <c r="K168" s="7"/>
      <c r="L168" s="7"/>
      <c r="M168" s="7"/>
      <c r="N168" s="7"/>
      <c r="O168" s="7"/>
      <c r="P168" s="7"/>
      <c r="Q168" s="7"/>
      <c r="R168" s="7"/>
      <c r="S168" s="7"/>
      <c r="T168" s="7"/>
      <c r="U168" s="7"/>
      <c r="V168" s="57"/>
      <c r="W168" s="10"/>
    </row>
    <row r="169" s="6" customFormat="1" spans="1:23">
      <c r="A169" s="7"/>
      <c r="B169" s="8"/>
      <c r="C169" s="7"/>
      <c r="D169" s="8"/>
      <c r="E169" s="8"/>
      <c r="F169" s="8"/>
      <c r="G169" s="7"/>
      <c r="H169" s="7"/>
      <c r="I169" s="7"/>
      <c r="J169" s="7"/>
      <c r="K169" s="7"/>
      <c r="L169" s="7"/>
      <c r="M169" s="7"/>
      <c r="N169" s="7"/>
      <c r="O169" s="7"/>
      <c r="P169" s="7"/>
      <c r="Q169" s="7"/>
      <c r="R169" s="7"/>
      <c r="S169" s="7"/>
      <c r="T169" s="7"/>
      <c r="U169" s="7"/>
      <c r="V169" s="57"/>
      <c r="W169" s="10"/>
    </row>
    <row r="170" s="6" customFormat="1" spans="1:23">
      <c r="A170" s="7"/>
      <c r="B170" s="8"/>
      <c r="C170" s="7"/>
      <c r="D170" s="8"/>
      <c r="E170" s="8"/>
      <c r="F170" s="8"/>
      <c r="G170" s="7"/>
      <c r="H170" s="7"/>
      <c r="I170" s="7"/>
      <c r="J170" s="7"/>
      <c r="K170" s="7"/>
      <c r="L170" s="7"/>
      <c r="M170" s="7"/>
      <c r="N170" s="7"/>
      <c r="O170" s="7"/>
      <c r="P170" s="7"/>
      <c r="Q170" s="7"/>
      <c r="R170" s="7"/>
      <c r="S170" s="7"/>
      <c r="T170" s="7"/>
      <c r="U170" s="7"/>
      <c r="V170" s="57"/>
      <c r="W170" s="10"/>
    </row>
    <row r="171" s="6" customFormat="1" spans="1:23">
      <c r="A171" s="7"/>
      <c r="B171" s="8"/>
      <c r="C171" s="7"/>
      <c r="D171" s="8"/>
      <c r="E171" s="8"/>
      <c r="F171" s="8"/>
      <c r="G171" s="7"/>
      <c r="H171" s="7"/>
      <c r="I171" s="7"/>
      <c r="J171" s="7"/>
      <c r="K171" s="7"/>
      <c r="L171" s="7"/>
      <c r="M171" s="7"/>
      <c r="N171" s="7"/>
      <c r="O171" s="7"/>
      <c r="P171" s="7"/>
      <c r="Q171" s="7"/>
      <c r="R171" s="7"/>
      <c r="S171" s="7"/>
      <c r="T171" s="7"/>
      <c r="U171" s="7"/>
      <c r="V171" s="57"/>
      <c r="W171" s="10"/>
    </row>
    <row r="172" s="6" customFormat="1" spans="1:23">
      <c r="A172" s="7"/>
      <c r="B172" s="8"/>
      <c r="C172" s="7"/>
      <c r="D172" s="8"/>
      <c r="E172" s="8"/>
      <c r="F172" s="8"/>
      <c r="G172" s="7"/>
      <c r="H172" s="7"/>
      <c r="I172" s="7"/>
      <c r="J172" s="7"/>
      <c r="K172" s="7"/>
      <c r="L172" s="7"/>
      <c r="M172" s="7"/>
      <c r="N172" s="7"/>
      <c r="O172" s="7"/>
      <c r="P172" s="7"/>
      <c r="Q172" s="7"/>
      <c r="R172" s="7"/>
      <c r="S172" s="7"/>
      <c r="T172" s="7"/>
      <c r="U172" s="7"/>
      <c r="V172" s="57"/>
      <c r="W172" s="10"/>
    </row>
    <row r="173" s="6" customFormat="1" spans="1:23">
      <c r="A173" s="7"/>
      <c r="B173" s="8"/>
      <c r="C173" s="7"/>
      <c r="D173" s="8"/>
      <c r="E173" s="8"/>
      <c r="F173" s="8"/>
      <c r="G173" s="7"/>
      <c r="H173" s="7"/>
      <c r="I173" s="7"/>
      <c r="J173" s="7"/>
      <c r="K173" s="7"/>
      <c r="L173" s="7"/>
      <c r="M173" s="7"/>
      <c r="N173" s="7"/>
      <c r="O173" s="7"/>
      <c r="P173" s="7"/>
      <c r="Q173" s="7"/>
      <c r="R173" s="7"/>
      <c r="S173" s="7"/>
      <c r="T173" s="7"/>
      <c r="U173" s="7"/>
      <c r="V173" s="57"/>
      <c r="W173" s="10"/>
    </row>
    <row r="174" s="6" customFormat="1" spans="1:23">
      <c r="A174" s="7"/>
      <c r="B174" s="8"/>
      <c r="C174" s="7"/>
      <c r="D174" s="8"/>
      <c r="E174" s="8"/>
      <c r="F174" s="8"/>
      <c r="G174" s="7"/>
      <c r="H174" s="7"/>
      <c r="I174" s="7"/>
      <c r="J174" s="7"/>
      <c r="K174" s="7"/>
      <c r="L174" s="7"/>
      <c r="M174" s="7"/>
      <c r="N174" s="7"/>
      <c r="O174" s="7"/>
      <c r="P174" s="7"/>
      <c r="Q174" s="7"/>
      <c r="R174" s="7"/>
      <c r="S174" s="7"/>
      <c r="T174" s="7"/>
      <c r="U174" s="7"/>
      <c r="V174" s="57"/>
      <c r="W174" s="10"/>
    </row>
    <row r="175" s="6" customFormat="1" spans="1:23">
      <c r="A175" s="7"/>
      <c r="B175" s="8"/>
      <c r="C175" s="7"/>
      <c r="D175" s="8"/>
      <c r="E175" s="8"/>
      <c r="F175" s="8"/>
      <c r="G175" s="7"/>
      <c r="H175" s="7"/>
      <c r="I175" s="7"/>
      <c r="J175" s="7"/>
      <c r="K175" s="7"/>
      <c r="L175" s="7"/>
      <c r="M175" s="7"/>
      <c r="N175" s="7"/>
      <c r="O175" s="7"/>
      <c r="P175" s="7"/>
      <c r="Q175" s="7"/>
      <c r="R175" s="7"/>
      <c r="S175" s="7"/>
      <c r="T175" s="7"/>
      <c r="U175" s="7"/>
      <c r="V175" s="57"/>
      <c r="W175" s="10"/>
    </row>
    <row r="176" s="6" customFormat="1" spans="1:23">
      <c r="A176" s="7"/>
      <c r="B176" s="8"/>
      <c r="C176" s="7"/>
      <c r="D176" s="8"/>
      <c r="E176" s="8"/>
      <c r="F176" s="8"/>
      <c r="G176" s="7"/>
      <c r="H176" s="7"/>
      <c r="I176" s="7"/>
      <c r="J176" s="7"/>
      <c r="K176" s="7"/>
      <c r="L176" s="7"/>
      <c r="M176" s="7"/>
      <c r="N176" s="7"/>
      <c r="O176" s="7"/>
      <c r="P176" s="7"/>
      <c r="Q176" s="7"/>
      <c r="R176" s="7"/>
      <c r="S176" s="7"/>
      <c r="T176" s="7"/>
      <c r="U176" s="7"/>
      <c r="V176" s="57"/>
      <c r="W176" s="10"/>
    </row>
    <row r="177" s="6" customFormat="1" spans="1:23">
      <c r="A177" s="7"/>
      <c r="B177" s="8"/>
      <c r="C177" s="7"/>
      <c r="D177" s="8"/>
      <c r="E177" s="8"/>
      <c r="F177" s="8"/>
      <c r="G177" s="7"/>
      <c r="H177" s="7"/>
      <c r="I177" s="7"/>
      <c r="J177" s="7"/>
      <c r="K177" s="7"/>
      <c r="L177" s="7"/>
      <c r="M177" s="7"/>
      <c r="N177" s="7"/>
      <c r="O177" s="7"/>
      <c r="P177" s="7"/>
      <c r="Q177" s="7"/>
      <c r="R177" s="7"/>
      <c r="S177" s="7"/>
      <c r="T177" s="7"/>
      <c r="U177" s="7"/>
      <c r="V177" s="57"/>
      <c r="W177" s="10"/>
    </row>
    <row r="178" s="6" customFormat="1" spans="1:23">
      <c r="A178" s="7"/>
      <c r="B178" s="8"/>
      <c r="C178" s="7"/>
      <c r="D178" s="8"/>
      <c r="E178" s="8"/>
      <c r="F178" s="8"/>
      <c r="G178" s="7"/>
      <c r="H178" s="7"/>
      <c r="I178" s="7"/>
      <c r="J178" s="7"/>
      <c r="K178" s="7"/>
      <c r="L178" s="7"/>
      <c r="M178" s="7"/>
      <c r="N178" s="7"/>
      <c r="O178" s="7"/>
      <c r="P178" s="7"/>
      <c r="Q178" s="7"/>
      <c r="R178" s="7"/>
      <c r="S178" s="7"/>
      <c r="T178" s="7"/>
      <c r="U178" s="7"/>
      <c r="V178" s="57"/>
      <c r="W178" s="10"/>
    </row>
    <row r="179" s="6" customFormat="1" spans="1:23">
      <c r="A179" s="7"/>
      <c r="B179" s="8"/>
      <c r="C179" s="7"/>
      <c r="D179" s="8"/>
      <c r="E179" s="8"/>
      <c r="F179" s="8"/>
      <c r="G179" s="7"/>
      <c r="H179" s="7"/>
      <c r="I179" s="7"/>
      <c r="J179" s="7"/>
      <c r="K179" s="7"/>
      <c r="L179" s="7"/>
      <c r="M179" s="7"/>
      <c r="N179" s="7"/>
      <c r="O179" s="7"/>
      <c r="P179" s="7"/>
      <c r="Q179" s="7"/>
      <c r="R179" s="7"/>
      <c r="S179" s="7"/>
      <c r="T179" s="7"/>
      <c r="U179" s="7"/>
      <c r="V179" s="57"/>
      <c r="W179" s="10"/>
    </row>
    <row r="180" s="6" customFormat="1" spans="1:23">
      <c r="A180" s="7"/>
      <c r="B180" s="8"/>
      <c r="C180" s="7"/>
      <c r="D180" s="8"/>
      <c r="E180" s="8"/>
      <c r="F180" s="8"/>
      <c r="G180" s="7"/>
      <c r="H180" s="7"/>
      <c r="I180" s="7"/>
      <c r="J180" s="7"/>
      <c r="K180" s="7"/>
      <c r="L180" s="7"/>
      <c r="M180" s="7"/>
      <c r="N180" s="7"/>
      <c r="O180" s="7"/>
      <c r="P180" s="7"/>
      <c r="Q180" s="7"/>
      <c r="R180" s="7"/>
      <c r="S180" s="7"/>
      <c r="T180" s="7"/>
      <c r="U180" s="7"/>
      <c r="V180" s="57"/>
      <c r="W180" s="10"/>
    </row>
    <row r="181" s="6" customFormat="1" spans="1:23">
      <c r="A181" s="7"/>
      <c r="B181" s="8"/>
      <c r="C181" s="7"/>
      <c r="D181" s="8"/>
      <c r="E181" s="8"/>
      <c r="F181" s="8"/>
      <c r="G181" s="7"/>
      <c r="H181" s="7"/>
      <c r="I181" s="7"/>
      <c r="J181" s="7"/>
      <c r="K181" s="7"/>
      <c r="L181" s="7"/>
      <c r="M181" s="7"/>
      <c r="N181" s="7"/>
      <c r="O181" s="7"/>
      <c r="P181" s="7"/>
      <c r="Q181" s="7"/>
      <c r="R181" s="7"/>
      <c r="S181" s="7"/>
      <c r="T181" s="7"/>
      <c r="U181" s="7"/>
      <c r="V181" s="57"/>
      <c r="W181" s="10"/>
    </row>
    <row r="182" s="6" customFormat="1" spans="1:23">
      <c r="A182" s="7"/>
      <c r="B182" s="8"/>
      <c r="C182" s="7"/>
      <c r="D182" s="8"/>
      <c r="E182" s="8"/>
      <c r="F182" s="8"/>
      <c r="G182" s="7"/>
      <c r="H182" s="7"/>
      <c r="I182" s="7"/>
      <c r="J182" s="7"/>
      <c r="K182" s="7"/>
      <c r="L182" s="7"/>
      <c r="M182" s="7"/>
      <c r="N182" s="7"/>
      <c r="O182" s="7"/>
      <c r="P182" s="7"/>
      <c r="Q182" s="7"/>
      <c r="R182" s="7"/>
      <c r="S182" s="7"/>
      <c r="T182" s="7"/>
      <c r="U182" s="7"/>
      <c r="V182" s="57"/>
      <c r="W182" s="10"/>
    </row>
    <row r="183" s="6" customFormat="1" spans="1:23">
      <c r="A183" s="7"/>
      <c r="B183" s="8"/>
      <c r="C183" s="7"/>
      <c r="D183" s="8"/>
      <c r="E183" s="8"/>
      <c r="F183" s="8"/>
      <c r="G183" s="7"/>
      <c r="H183" s="7"/>
      <c r="I183" s="7"/>
      <c r="J183" s="7"/>
      <c r="K183" s="7"/>
      <c r="L183" s="7"/>
      <c r="M183" s="7"/>
      <c r="N183" s="7"/>
      <c r="O183" s="7"/>
      <c r="P183" s="7"/>
      <c r="Q183" s="7"/>
      <c r="R183" s="7"/>
      <c r="S183" s="7"/>
      <c r="T183" s="7"/>
      <c r="U183" s="7"/>
      <c r="V183" s="57"/>
      <c r="W183" s="10"/>
    </row>
    <row r="184" s="6" customFormat="1" spans="1:23">
      <c r="A184" s="7"/>
      <c r="B184" s="8"/>
      <c r="C184" s="7"/>
      <c r="D184" s="8"/>
      <c r="E184" s="8"/>
      <c r="F184" s="8"/>
      <c r="G184" s="7"/>
      <c r="H184" s="7"/>
      <c r="I184" s="7"/>
      <c r="J184" s="7"/>
      <c r="K184" s="7"/>
      <c r="L184" s="7"/>
      <c r="M184" s="7"/>
      <c r="N184" s="7"/>
      <c r="O184" s="7"/>
      <c r="P184" s="7"/>
      <c r="Q184" s="7"/>
      <c r="R184" s="7"/>
      <c r="S184" s="7"/>
      <c r="T184" s="7"/>
      <c r="U184" s="7"/>
      <c r="V184" s="57"/>
      <c r="W184" s="10"/>
    </row>
    <row r="185" s="6" customFormat="1" spans="1:23">
      <c r="A185" s="7"/>
      <c r="B185" s="8"/>
      <c r="C185" s="7"/>
      <c r="D185" s="8"/>
      <c r="E185" s="8"/>
      <c r="F185" s="8"/>
      <c r="G185" s="7"/>
      <c r="H185" s="7"/>
      <c r="I185" s="7"/>
      <c r="J185" s="7"/>
      <c r="K185" s="7"/>
      <c r="L185" s="7"/>
      <c r="M185" s="7"/>
      <c r="N185" s="7"/>
      <c r="O185" s="7"/>
      <c r="P185" s="7"/>
      <c r="Q185" s="7"/>
      <c r="R185" s="7"/>
      <c r="S185" s="7"/>
      <c r="T185" s="7"/>
      <c r="U185" s="7"/>
      <c r="V185" s="57"/>
      <c r="W185" s="10"/>
    </row>
    <row r="186" s="6" customFormat="1" spans="1:23">
      <c r="A186" s="7"/>
      <c r="B186" s="8"/>
      <c r="C186" s="7"/>
      <c r="D186" s="8"/>
      <c r="E186" s="8"/>
      <c r="F186" s="8"/>
      <c r="G186" s="7"/>
      <c r="H186" s="7"/>
      <c r="I186" s="7"/>
      <c r="J186" s="7"/>
      <c r="K186" s="7"/>
      <c r="L186" s="7"/>
      <c r="M186" s="7"/>
      <c r="N186" s="7"/>
      <c r="O186" s="7"/>
      <c r="P186" s="7"/>
      <c r="Q186" s="7"/>
      <c r="R186" s="7"/>
      <c r="S186" s="7"/>
      <c r="T186" s="7"/>
      <c r="U186" s="7"/>
      <c r="V186" s="57"/>
      <c r="W186" s="10"/>
    </row>
    <row r="187" s="6" customFormat="1" spans="1:23">
      <c r="A187" s="7"/>
      <c r="B187" s="8"/>
      <c r="C187" s="7"/>
      <c r="D187" s="8"/>
      <c r="E187" s="8"/>
      <c r="F187" s="8"/>
      <c r="G187" s="7"/>
      <c r="H187" s="7"/>
      <c r="I187" s="7"/>
      <c r="J187" s="7"/>
      <c r="K187" s="7"/>
      <c r="L187" s="7"/>
      <c r="M187" s="7"/>
      <c r="N187" s="7"/>
      <c r="O187" s="7"/>
      <c r="P187" s="7"/>
      <c r="Q187" s="7"/>
      <c r="R187" s="7"/>
      <c r="S187" s="7"/>
      <c r="T187" s="7"/>
      <c r="U187" s="7"/>
      <c r="V187" s="57"/>
      <c r="W187" s="10"/>
    </row>
    <row r="188" s="6" customFormat="1" spans="1:23">
      <c r="A188" s="7"/>
      <c r="B188" s="8"/>
      <c r="C188" s="7"/>
      <c r="D188" s="8"/>
      <c r="E188" s="8"/>
      <c r="F188" s="8"/>
      <c r="G188" s="7"/>
      <c r="H188" s="7"/>
      <c r="I188" s="7"/>
      <c r="J188" s="7"/>
      <c r="K188" s="7"/>
      <c r="L188" s="7"/>
      <c r="M188" s="7"/>
      <c r="N188" s="7"/>
      <c r="O188" s="7"/>
      <c r="P188" s="7"/>
      <c r="Q188" s="7"/>
      <c r="R188" s="7"/>
      <c r="S188" s="7"/>
      <c r="T188" s="7"/>
      <c r="U188" s="7"/>
      <c r="V188" s="57"/>
      <c r="W188" s="10"/>
    </row>
    <row r="189" s="6" customFormat="1" spans="1:23">
      <c r="A189" s="7"/>
      <c r="B189" s="8"/>
      <c r="C189" s="7"/>
      <c r="D189" s="8"/>
      <c r="E189" s="8"/>
      <c r="F189" s="8"/>
      <c r="G189" s="7"/>
      <c r="H189" s="7"/>
      <c r="I189" s="7"/>
      <c r="J189" s="7"/>
      <c r="K189" s="7"/>
      <c r="L189" s="7"/>
      <c r="M189" s="7"/>
      <c r="N189" s="7"/>
      <c r="O189" s="7"/>
      <c r="P189" s="7"/>
      <c r="Q189" s="7"/>
      <c r="R189" s="7"/>
      <c r="S189" s="7"/>
      <c r="T189" s="7"/>
      <c r="U189" s="7"/>
      <c r="V189" s="57"/>
      <c r="W189" s="10"/>
    </row>
    <row r="190" s="6" customFormat="1" spans="1:23">
      <c r="A190" s="7"/>
      <c r="B190" s="8"/>
      <c r="C190" s="7"/>
      <c r="D190" s="8"/>
      <c r="E190" s="8"/>
      <c r="F190" s="8"/>
      <c r="G190" s="7"/>
      <c r="H190" s="7"/>
      <c r="I190" s="7"/>
      <c r="J190" s="7"/>
      <c r="K190" s="7"/>
      <c r="L190" s="7"/>
      <c r="M190" s="7"/>
      <c r="N190" s="7"/>
      <c r="O190" s="7"/>
      <c r="P190" s="7"/>
      <c r="Q190" s="7"/>
      <c r="R190" s="7"/>
      <c r="S190" s="7"/>
      <c r="T190" s="7"/>
      <c r="U190" s="7"/>
      <c r="V190" s="57"/>
      <c r="W190" s="10"/>
    </row>
    <row r="191" s="6" customFormat="1" spans="1:23">
      <c r="A191" s="7"/>
      <c r="B191" s="8"/>
      <c r="C191" s="7"/>
      <c r="D191" s="8"/>
      <c r="E191" s="8"/>
      <c r="F191" s="8"/>
      <c r="G191" s="7"/>
      <c r="H191" s="7"/>
      <c r="I191" s="7"/>
      <c r="J191" s="7"/>
      <c r="K191" s="7"/>
      <c r="L191" s="7"/>
      <c r="M191" s="7"/>
      <c r="N191" s="7"/>
      <c r="O191" s="7"/>
      <c r="P191" s="7"/>
      <c r="Q191" s="7"/>
      <c r="R191" s="7"/>
      <c r="S191" s="7"/>
      <c r="T191" s="7"/>
      <c r="U191" s="7"/>
      <c r="V191" s="57"/>
      <c r="W191" s="10"/>
    </row>
    <row r="192" s="6" customFormat="1" spans="1:23">
      <c r="A192" s="7"/>
      <c r="B192" s="8"/>
      <c r="C192" s="7"/>
      <c r="D192" s="8"/>
      <c r="E192" s="8"/>
      <c r="F192" s="8"/>
      <c r="G192" s="7"/>
      <c r="H192" s="7"/>
      <c r="I192" s="7"/>
      <c r="J192" s="7"/>
      <c r="K192" s="7"/>
      <c r="L192" s="7"/>
      <c r="M192" s="7"/>
      <c r="N192" s="7"/>
      <c r="O192" s="7"/>
      <c r="P192" s="7"/>
      <c r="Q192" s="7"/>
      <c r="R192" s="7"/>
      <c r="S192" s="7"/>
      <c r="T192" s="7"/>
      <c r="U192" s="7"/>
      <c r="V192" s="57"/>
      <c r="W192" s="10"/>
    </row>
    <row r="193" s="6" customFormat="1" spans="1:23">
      <c r="A193" s="7"/>
      <c r="B193" s="8"/>
      <c r="C193" s="7"/>
      <c r="D193" s="8"/>
      <c r="E193" s="8"/>
      <c r="F193" s="8"/>
      <c r="G193" s="7"/>
      <c r="H193" s="7"/>
      <c r="I193" s="7"/>
      <c r="J193" s="7"/>
      <c r="K193" s="7"/>
      <c r="L193" s="7"/>
      <c r="M193" s="7"/>
      <c r="N193" s="7"/>
      <c r="O193" s="7"/>
      <c r="P193" s="7"/>
      <c r="Q193" s="7"/>
      <c r="R193" s="7"/>
      <c r="S193" s="7"/>
      <c r="T193" s="7"/>
      <c r="U193" s="7"/>
      <c r="V193" s="57"/>
      <c r="W193" s="10"/>
    </row>
    <row r="194" s="6" customFormat="1" spans="1:23">
      <c r="A194" s="7"/>
      <c r="B194" s="8"/>
      <c r="C194" s="7"/>
      <c r="D194" s="8"/>
      <c r="E194" s="8"/>
      <c r="F194" s="8"/>
      <c r="G194" s="7"/>
      <c r="H194" s="7"/>
      <c r="I194" s="7"/>
      <c r="J194" s="7"/>
      <c r="K194" s="7"/>
      <c r="L194" s="7"/>
      <c r="M194" s="7"/>
      <c r="N194" s="7"/>
      <c r="O194" s="7"/>
      <c r="P194" s="7"/>
      <c r="Q194" s="7"/>
      <c r="R194" s="7"/>
      <c r="S194" s="7"/>
      <c r="T194" s="7"/>
      <c r="U194" s="7"/>
      <c r="V194" s="57"/>
      <c r="W194" s="10"/>
    </row>
    <row r="195" s="6" customFormat="1" spans="1:23">
      <c r="A195" s="7"/>
      <c r="B195" s="8"/>
      <c r="C195" s="7"/>
      <c r="D195" s="8"/>
      <c r="E195" s="8"/>
      <c r="F195" s="8"/>
      <c r="G195" s="7"/>
      <c r="H195" s="7"/>
      <c r="I195" s="7"/>
      <c r="J195" s="7"/>
      <c r="K195" s="7"/>
      <c r="L195" s="7"/>
      <c r="M195" s="7"/>
      <c r="N195" s="7"/>
      <c r="O195" s="7"/>
      <c r="P195" s="7"/>
      <c r="Q195" s="7"/>
      <c r="R195" s="7"/>
      <c r="S195" s="7"/>
      <c r="T195" s="7"/>
      <c r="U195" s="7"/>
      <c r="V195" s="57"/>
      <c r="W195" s="10"/>
    </row>
    <row r="196" s="6" customFormat="1" spans="1:23">
      <c r="A196" s="7"/>
      <c r="B196" s="8"/>
      <c r="C196" s="7"/>
      <c r="D196" s="8"/>
      <c r="E196" s="8"/>
      <c r="F196" s="8"/>
      <c r="G196" s="7"/>
      <c r="H196" s="7"/>
      <c r="I196" s="7"/>
      <c r="J196" s="7"/>
      <c r="K196" s="7"/>
      <c r="L196" s="7"/>
      <c r="M196" s="7"/>
      <c r="N196" s="7"/>
      <c r="O196" s="7"/>
      <c r="P196" s="7"/>
      <c r="Q196" s="7"/>
      <c r="R196" s="7"/>
      <c r="S196" s="7"/>
      <c r="T196" s="7"/>
      <c r="U196" s="7"/>
      <c r="V196" s="57"/>
      <c r="W196" s="10"/>
    </row>
    <row r="197" s="6" customFormat="1" spans="1:23">
      <c r="A197" s="7"/>
      <c r="B197" s="8"/>
      <c r="C197" s="7"/>
      <c r="D197" s="8"/>
      <c r="E197" s="8"/>
      <c r="F197" s="8"/>
      <c r="G197" s="7"/>
      <c r="H197" s="7"/>
      <c r="I197" s="7"/>
      <c r="J197" s="7"/>
      <c r="K197" s="7"/>
      <c r="L197" s="7"/>
      <c r="M197" s="7"/>
      <c r="N197" s="7"/>
      <c r="O197" s="7"/>
      <c r="P197" s="7"/>
      <c r="Q197" s="7"/>
      <c r="R197" s="7"/>
      <c r="S197" s="7"/>
      <c r="T197" s="7"/>
      <c r="U197" s="7"/>
      <c r="V197" s="57"/>
      <c r="W197" s="10"/>
    </row>
    <row r="198" s="6" customFormat="1" spans="1:23">
      <c r="A198" s="7"/>
      <c r="B198" s="8"/>
      <c r="C198" s="7"/>
      <c r="D198" s="8"/>
      <c r="E198" s="8"/>
      <c r="F198" s="8"/>
      <c r="G198" s="7"/>
      <c r="H198" s="7"/>
      <c r="I198" s="7"/>
      <c r="J198" s="7"/>
      <c r="K198" s="7"/>
      <c r="L198" s="7"/>
      <c r="M198" s="7"/>
      <c r="N198" s="7"/>
      <c r="O198" s="7"/>
      <c r="P198" s="7"/>
      <c r="Q198" s="7"/>
      <c r="R198" s="7"/>
      <c r="S198" s="7"/>
      <c r="T198" s="7"/>
      <c r="U198" s="7"/>
      <c r="V198" s="57"/>
      <c r="W198" s="10"/>
    </row>
    <row r="199" s="6" customFormat="1" spans="1:23">
      <c r="A199" s="7"/>
      <c r="B199" s="8"/>
      <c r="C199" s="7"/>
      <c r="D199" s="8"/>
      <c r="E199" s="8"/>
      <c r="F199" s="8"/>
      <c r="G199" s="7"/>
      <c r="H199" s="7"/>
      <c r="I199" s="7"/>
      <c r="J199" s="7"/>
      <c r="K199" s="7"/>
      <c r="L199" s="7"/>
      <c r="M199" s="7"/>
      <c r="N199" s="7"/>
      <c r="O199" s="7"/>
      <c r="P199" s="7"/>
      <c r="Q199" s="7"/>
      <c r="R199" s="7"/>
      <c r="S199" s="7"/>
      <c r="T199" s="7"/>
      <c r="U199" s="7"/>
      <c r="V199" s="57"/>
      <c r="W199" s="10"/>
    </row>
    <row r="200" s="6" customFormat="1" spans="1:23">
      <c r="A200" s="7"/>
      <c r="B200" s="8"/>
      <c r="C200" s="7"/>
      <c r="D200" s="8"/>
      <c r="E200" s="8"/>
      <c r="F200" s="8"/>
      <c r="G200" s="7"/>
      <c r="H200" s="7"/>
      <c r="I200" s="7"/>
      <c r="J200" s="7"/>
      <c r="K200" s="7"/>
      <c r="L200" s="7"/>
      <c r="M200" s="7"/>
      <c r="N200" s="7"/>
      <c r="O200" s="7"/>
      <c r="P200" s="7"/>
      <c r="Q200" s="7"/>
      <c r="R200" s="7"/>
      <c r="S200" s="7"/>
      <c r="T200" s="7"/>
      <c r="U200" s="7"/>
      <c r="V200" s="57"/>
      <c r="W200" s="10"/>
    </row>
    <row r="201" s="6" customFormat="1" spans="1:23">
      <c r="A201" s="7"/>
      <c r="B201" s="8"/>
      <c r="C201" s="7"/>
      <c r="D201" s="8"/>
      <c r="E201" s="8"/>
      <c r="F201" s="8"/>
      <c r="G201" s="7"/>
      <c r="H201" s="7"/>
      <c r="I201" s="7"/>
      <c r="J201" s="7"/>
      <c r="K201" s="7"/>
      <c r="L201" s="7"/>
      <c r="M201" s="7"/>
      <c r="N201" s="7"/>
      <c r="O201" s="7"/>
      <c r="P201" s="7"/>
      <c r="Q201" s="7"/>
      <c r="R201" s="7"/>
      <c r="S201" s="7"/>
      <c r="T201" s="7"/>
      <c r="U201" s="7"/>
      <c r="V201" s="57"/>
      <c r="W201" s="10"/>
    </row>
    <row r="202" s="6" customFormat="1" spans="1:23">
      <c r="A202" s="7"/>
      <c r="B202" s="8"/>
      <c r="C202" s="7"/>
      <c r="D202" s="8"/>
      <c r="E202" s="8"/>
      <c r="F202" s="8"/>
      <c r="G202" s="7"/>
      <c r="H202" s="7"/>
      <c r="I202" s="7"/>
      <c r="J202" s="7"/>
      <c r="K202" s="7"/>
      <c r="L202" s="7"/>
      <c r="M202" s="7"/>
      <c r="N202" s="7"/>
      <c r="O202" s="7"/>
      <c r="P202" s="7"/>
      <c r="Q202" s="7"/>
      <c r="R202" s="7"/>
      <c r="S202" s="7"/>
      <c r="T202" s="7"/>
      <c r="U202" s="7"/>
      <c r="V202" s="57"/>
      <c r="W202" s="10"/>
    </row>
    <row r="203" s="6" customFormat="1" spans="1:23">
      <c r="A203" s="7"/>
      <c r="B203" s="8"/>
      <c r="C203" s="7"/>
      <c r="D203" s="8"/>
      <c r="E203" s="8"/>
      <c r="F203" s="8"/>
      <c r="G203" s="7"/>
      <c r="H203" s="7"/>
      <c r="I203" s="7"/>
      <c r="J203" s="7"/>
      <c r="K203" s="7"/>
      <c r="L203" s="7"/>
      <c r="M203" s="7"/>
      <c r="N203" s="7"/>
      <c r="O203" s="7"/>
      <c r="P203" s="7"/>
      <c r="Q203" s="7"/>
      <c r="R203" s="7"/>
      <c r="S203" s="7"/>
      <c r="T203" s="7"/>
      <c r="U203" s="7"/>
      <c r="V203" s="57"/>
      <c r="W203" s="10"/>
    </row>
    <row r="204" s="6" customFormat="1" spans="1:23">
      <c r="A204" s="7"/>
      <c r="B204" s="8"/>
      <c r="C204" s="7"/>
      <c r="D204" s="8"/>
      <c r="E204" s="8"/>
      <c r="F204" s="8"/>
      <c r="G204" s="7"/>
      <c r="H204" s="7"/>
      <c r="I204" s="7"/>
      <c r="J204" s="7"/>
      <c r="K204" s="7"/>
      <c r="L204" s="7"/>
      <c r="M204" s="7"/>
      <c r="N204" s="7"/>
      <c r="O204" s="7"/>
      <c r="P204" s="7"/>
      <c r="Q204" s="7"/>
      <c r="R204" s="7"/>
      <c r="S204" s="7"/>
      <c r="T204" s="7"/>
      <c r="U204" s="7"/>
      <c r="V204" s="57"/>
      <c r="W204" s="10"/>
    </row>
    <row r="205" s="6" customFormat="1" spans="1:23">
      <c r="A205" s="7"/>
      <c r="B205" s="8"/>
      <c r="C205" s="7"/>
      <c r="D205" s="8"/>
      <c r="E205" s="8"/>
      <c r="F205" s="8"/>
      <c r="G205" s="7"/>
      <c r="H205" s="7"/>
      <c r="I205" s="7"/>
      <c r="J205" s="7"/>
      <c r="K205" s="7"/>
      <c r="L205" s="7"/>
      <c r="M205" s="7"/>
      <c r="N205" s="7"/>
      <c r="O205" s="7"/>
      <c r="P205" s="7"/>
      <c r="Q205" s="7"/>
      <c r="R205" s="7"/>
      <c r="S205" s="7"/>
      <c r="T205" s="7"/>
      <c r="U205" s="7"/>
      <c r="V205" s="57"/>
      <c r="W205" s="10"/>
    </row>
    <row r="206" s="6" customFormat="1" spans="1:23">
      <c r="A206" s="7"/>
      <c r="B206" s="8"/>
      <c r="C206" s="7"/>
      <c r="D206" s="8"/>
      <c r="E206" s="8"/>
      <c r="F206" s="8"/>
      <c r="G206" s="7"/>
      <c r="H206" s="7"/>
      <c r="I206" s="7"/>
      <c r="J206" s="7"/>
      <c r="K206" s="7"/>
      <c r="L206" s="7"/>
      <c r="M206" s="7"/>
      <c r="N206" s="7"/>
      <c r="O206" s="7"/>
      <c r="P206" s="7"/>
      <c r="Q206" s="7"/>
      <c r="R206" s="7"/>
      <c r="S206" s="7"/>
      <c r="T206" s="7"/>
      <c r="U206" s="7"/>
      <c r="V206" s="57"/>
      <c r="W206" s="10"/>
    </row>
    <row r="207" s="6" customFormat="1" spans="1:23">
      <c r="A207" s="7"/>
      <c r="B207" s="8"/>
      <c r="C207" s="7"/>
      <c r="D207" s="8"/>
      <c r="E207" s="8"/>
      <c r="F207" s="8"/>
      <c r="G207" s="7"/>
      <c r="H207" s="7"/>
      <c r="I207" s="7"/>
      <c r="J207" s="7"/>
      <c r="K207" s="7"/>
      <c r="L207" s="7"/>
      <c r="M207" s="7"/>
      <c r="N207" s="7"/>
      <c r="O207" s="7"/>
      <c r="P207" s="7"/>
      <c r="Q207" s="7"/>
      <c r="R207" s="7"/>
      <c r="S207" s="7"/>
      <c r="T207" s="7"/>
      <c r="U207" s="7"/>
      <c r="V207" s="57"/>
      <c r="W207" s="10"/>
    </row>
    <row r="208" s="6" customFormat="1" spans="1:23">
      <c r="A208" s="7"/>
      <c r="B208" s="8"/>
      <c r="C208" s="7"/>
      <c r="D208" s="8"/>
      <c r="E208" s="8"/>
      <c r="F208" s="8"/>
      <c r="G208" s="7"/>
      <c r="H208" s="7"/>
      <c r="I208" s="7"/>
      <c r="J208" s="7"/>
      <c r="K208" s="7"/>
      <c r="L208" s="7"/>
      <c r="M208" s="7"/>
      <c r="N208" s="7"/>
      <c r="O208" s="7"/>
      <c r="P208" s="7"/>
      <c r="Q208" s="7"/>
      <c r="R208" s="7"/>
      <c r="S208" s="7"/>
      <c r="T208" s="7"/>
      <c r="U208" s="7"/>
      <c r="V208" s="57"/>
      <c r="W208" s="10"/>
    </row>
    <row r="209" s="6" customFormat="1" spans="1:23">
      <c r="A209" s="7"/>
      <c r="B209" s="8"/>
      <c r="C209" s="7"/>
      <c r="D209" s="8"/>
      <c r="E209" s="8"/>
      <c r="F209" s="8"/>
      <c r="G209" s="7"/>
      <c r="H209" s="7"/>
      <c r="I209" s="7"/>
      <c r="J209" s="7"/>
      <c r="K209" s="7"/>
      <c r="L209" s="7"/>
      <c r="M209" s="7"/>
      <c r="N209" s="7"/>
      <c r="O209" s="7"/>
      <c r="P209" s="7"/>
      <c r="Q209" s="7"/>
      <c r="R209" s="7"/>
      <c r="S209" s="7"/>
      <c r="T209" s="7"/>
      <c r="U209" s="7"/>
      <c r="V209" s="57"/>
      <c r="W209" s="10"/>
    </row>
    <row r="210" s="6" customFormat="1" spans="1:23">
      <c r="A210" s="7"/>
      <c r="B210" s="8"/>
      <c r="C210" s="7"/>
      <c r="D210" s="8"/>
      <c r="E210" s="8"/>
      <c r="F210" s="8"/>
      <c r="G210" s="7"/>
      <c r="H210" s="7"/>
      <c r="I210" s="7"/>
      <c r="J210" s="7"/>
      <c r="K210" s="7"/>
      <c r="L210" s="7"/>
      <c r="M210" s="7"/>
      <c r="N210" s="7"/>
      <c r="O210" s="7"/>
      <c r="P210" s="7"/>
      <c r="Q210" s="7"/>
      <c r="R210" s="7"/>
      <c r="S210" s="7"/>
      <c r="T210" s="7"/>
      <c r="U210" s="7"/>
      <c r="V210" s="57"/>
      <c r="W210" s="10"/>
    </row>
    <row r="211" s="6" customFormat="1" spans="1:23">
      <c r="A211" s="7"/>
      <c r="B211" s="8"/>
      <c r="C211" s="7"/>
      <c r="D211" s="8"/>
      <c r="E211" s="8"/>
      <c r="F211" s="8"/>
      <c r="G211" s="7"/>
      <c r="H211" s="7"/>
      <c r="I211" s="7"/>
      <c r="J211" s="7"/>
      <c r="K211" s="7"/>
      <c r="L211" s="7"/>
      <c r="M211" s="7"/>
      <c r="N211" s="7"/>
      <c r="O211" s="7"/>
      <c r="P211" s="7"/>
      <c r="Q211" s="7"/>
      <c r="R211" s="7"/>
      <c r="S211" s="7"/>
      <c r="T211" s="7"/>
      <c r="U211" s="7"/>
      <c r="V211" s="57"/>
      <c r="W211" s="10"/>
    </row>
    <row r="212" s="6" customFormat="1" spans="1:23">
      <c r="A212" s="7"/>
      <c r="B212" s="8"/>
      <c r="C212" s="7"/>
      <c r="D212" s="8"/>
      <c r="E212" s="8"/>
      <c r="F212" s="8"/>
      <c r="G212" s="7"/>
      <c r="H212" s="7"/>
      <c r="I212" s="7"/>
      <c r="J212" s="7"/>
      <c r="K212" s="7"/>
      <c r="L212" s="7"/>
      <c r="M212" s="7"/>
      <c r="N212" s="7"/>
      <c r="O212" s="7"/>
      <c r="P212" s="7"/>
      <c r="Q212" s="7"/>
      <c r="R212" s="7"/>
      <c r="S212" s="7"/>
      <c r="T212" s="7"/>
      <c r="U212" s="7"/>
      <c r="V212" s="57"/>
      <c r="W212" s="10"/>
    </row>
    <row r="213" s="6" customFormat="1" spans="1:23">
      <c r="A213" s="7"/>
      <c r="B213" s="8"/>
      <c r="C213" s="7"/>
      <c r="D213" s="8"/>
      <c r="E213" s="8"/>
      <c r="F213" s="8"/>
      <c r="G213" s="7"/>
      <c r="H213" s="7"/>
      <c r="I213" s="7"/>
      <c r="J213" s="7"/>
      <c r="K213" s="7"/>
      <c r="L213" s="7"/>
      <c r="M213" s="7"/>
      <c r="N213" s="7"/>
      <c r="O213" s="7"/>
      <c r="P213" s="7"/>
      <c r="Q213" s="7"/>
      <c r="R213" s="7"/>
      <c r="S213" s="7"/>
      <c r="T213" s="7"/>
      <c r="U213" s="7"/>
      <c r="V213" s="57"/>
      <c r="W213" s="10"/>
    </row>
    <row r="214" s="6" customFormat="1" spans="1:23">
      <c r="A214" s="7"/>
      <c r="B214" s="8"/>
      <c r="C214" s="7"/>
      <c r="D214" s="8"/>
      <c r="E214" s="8"/>
      <c r="F214" s="8"/>
      <c r="G214" s="7"/>
      <c r="H214" s="7"/>
      <c r="I214" s="7"/>
      <c r="J214" s="7"/>
      <c r="K214" s="7"/>
      <c r="L214" s="7"/>
      <c r="M214" s="7"/>
      <c r="N214" s="7"/>
      <c r="O214" s="7"/>
      <c r="P214" s="7"/>
      <c r="Q214" s="7"/>
      <c r="R214" s="7"/>
      <c r="S214" s="7"/>
      <c r="T214" s="7"/>
      <c r="U214" s="7"/>
      <c r="V214" s="57"/>
      <c r="W214" s="10"/>
    </row>
    <row r="215" s="6" customFormat="1" spans="1:23">
      <c r="A215" s="7"/>
      <c r="B215" s="8"/>
      <c r="C215" s="7"/>
      <c r="D215" s="8"/>
      <c r="E215" s="8"/>
      <c r="F215" s="8"/>
      <c r="G215" s="7"/>
      <c r="H215" s="7"/>
      <c r="I215" s="7"/>
      <c r="J215" s="7"/>
      <c r="K215" s="7"/>
      <c r="L215" s="7"/>
      <c r="M215" s="7"/>
      <c r="N215" s="7"/>
      <c r="O215" s="7"/>
      <c r="P215" s="7"/>
      <c r="Q215" s="7"/>
      <c r="R215" s="7"/>
      <c r="S215" s="7"/>
      <c r="T215" s="7"/>
      <c r="U215" s="7"/>
      <c r="V215" s="57"/>
      <c r="W215" s="10"/>
    </row>
    <row r="216" s="6" customFormat="1" spans="1:23">
      <c r="A216" s="7"/>
      <c r="B216" s="8"/>
      <c r="C216" s="7"/>
      <c r="D216" s="8"/>
      <c r="E216" s="8"/>
      <c r="F216" s="8"/>
      <c r="G216" s="7"/>
      <c r="H216" s="7"/>
      <c r="I216" s="7"/>
      <c r="J216" s="7"/>
      <c r="K216" s="7"/>
      <c r="L216" s="7"/>
      <c r="M216" s="7"/>
      <c r="N216" s="7"/>
      <c r="O216" s="7"/>
      <c r="P216" s="7"/>
      <c r="Q216" s="7"/>
      <c r="R216" s="7"/>
      <c r="S216" s="7"/>
      <c r="T216" s="7"/>
      <c r="U216" s="7"/>
      <c r="V216" s="57"/>
      <c r="W216" s="10"/>
    </row>
    <row r="217" s="6" customFormat="1" spans="1:23">
      <c r="A217" s="7"/>
      <c r="B217" s="8"/>
      <c r="C217" s="7"/>
      <c r="D217" s="8"/>
      <c r="E217" s="8"/>
      <c r="F217" s="8"/>
      <c r="G217" s="7"/>
      <c r="H217" s="7"/>
      <c r="I217" s="7"/>
      <c r="J217" s="7"/>
      <c r="K217" s="7"/>
      <c r="L217" s="7"/>
      <c r="M217" s="7"/>
      <c r="N217" s="7"/>
      <c r="O217" s="7"/>
      <c r="P217" s="7"/>
      <c r="Q217" s="7"/>
      <c r="R217" s="7"/>
      <c r="S217" s="7"/>
      <c r="T217" s="7"/>
      <c r="U217" s="7"/>
      <c r="V217" s="57"/>
      <c r="W217" s="10"/>
    </row>
    <row r="218" s="6" customFormat="1" spans="1:23">
      <c r="A218" s="7"/>
      <c r="B218" s="8"/>
      <c r="C218" s="7"/>
      <c r="D218" s="8"/>
      <c r="E218" s="8"/>
      <c r="F218" s="8"/>
      <c r="G218" s="7"/>
      <c r="H218" s="7"/>
      <c r="I218" s="7"/>
      <c r="J218" s="7"/>
      <c r="K218" s="7"/>
      <c r="L218" s="7"/>
      <c r="M218" s="7"/>
      <c r="N218" s="7"/>
      <c r="O218" s="7"/>
      <c r="P218" s="7"/>
      <c r="Q218" s="7"/>
      <c r="R218" s="7"/>
      <c r="S218" s="7"/>
      <c r="T218" s="7"/>
      <c r="U218" s="7"/>
      <c r="V218" s="57"/>
      <c r="W218" s="10"/>
    </row>
    <row r="219" s="6" customFormat="1" spans="1:23">
      <c r="A219" s="7"/>
      <c r="B219" s="8"/>
      <c r="C219" s="7"/>
      <c r="D219" s="8"/>
      <c r="E219" s="8"/>
      <c r="F219" s="8"/>
      <c r="G219" s="7"/>
      <c r="H219" s="7"/>
      <c r="I219" s="7"/>
      <c r="J219" s="7"/>
      <c r="K219" s="7"/>
      <c r="L219" s="7"/>
      <c r="M219" s="7"/>
      <c r="N219" s="7"/>
      <c r="O219" s="7"/>
      <c r="P219" s="7"/>
      <c r="Q219" s="7"/>
      <c r="R219" s="7"/>
      <c r="S219" s="7"/>
      <c r="T219" s="7"/>
      <c r="U219" s="7"/>
      <c r="V219" s="57"/>
      <c r="W219" s="10"/>
    </row>
    <row r="220" s="6" customFormat="1" spans="1:23">
      <c r="A220" s="7"/>
      <c r="B220" s="8"/>
      <c r="C220" s="7"/>
      <c r="D220" s="8"/>
      <c r="E220" s="8"/>
      <c r="F220" s="8"/>
      <c r="G220" s="7"/>
      <c r="H220" s="7"/>
      <c r="I220" s="7"/>
      <c r="J220" s="7"/>
      <c r="K220" s="7"/>
      <c r="L220" s="7"/>
      <c r="M220" s="7"/>
      <c r="N220" s="7"/>
      <c r="O220" s="7"/>
      <c r="P220" s="7"/>
      <c r="Q220" s="7"/>
      <c r="R220" s="7"/>
      <c r="S220" s="7"/>
      <c r="T220" s="7"/>
      <c r="U220" s="7"/>
      <c r="V220" s="57"/>
      <c r="W220" s="10"/>
    </row>
    <row r="221" s="6" customFormat="1" spans="1:23">
      <c r="A221" s="7"/>
      <c r="B221" s="8"/>
      <c r="C221" s="7"/>
      <c r="D221" s="8"/>
      <c r="E221" s="8"/>
      <c r="F221" s="8"/>
      <c r="G221" s="7"/>
      <c r="H221" s="7"/>
      <c r="I221" s="7"/>
      <c r="J221" s="7"/>
      <c r="K221" s="7"/>
      <c r="L221" s="7"/>
      <c r="M221" s="7"/>
      <c r="N221" s="7"/>
      <c r="O221" s="7"/>
      <c r="P221" s="7"/>
      <c r="Q221" s="7"/>
      <c r="R221" s="7"/>
      <c r="S221" s="7"/>
      <c r="T221" s="7"/>
      <c r="U221" s="7"/>
      <c r="V221" s="57"/>
      <c r="W221" s="10"/>
    </row>
    <row r="222" s="6" customFormat="1" spans="1:23">
      <c r="A222" s="7"/>
      <c r="B222" s="8"/>
      <c r="C222" s="7"/>
      <c r="D222" s="8"/>
      <c r="E222" s="8"/>
      <c r="F222" s="8"/>
      <c r="G222" s="7"/>
      <c r="H222" s="7"/>
      <c r="I222" s="7"/>
      <c r="J222" s="7"/>
      <c r="K222" s="7"/>
      <c r="L222" s="7"/>
      <c r="M222" s="7"/>
      <c r="N222" s="7"/>
      <c r="O222" s="7"/>
      <c r="P222" s="7"/>
      <c r="Q222" s="7"/>
      <c r="R222" s="7"/>
      <c r="S222" s="7"/>
      <c r="T222" s="7"/>
      <c r="U222" s="7"/>
      <c r="V222" s="57"/>
      <c r="W222" s="10"/>
    </row>
    <row r="223" s="6" customFormat="1" spans="1:23">
      <c r="A223" s="7"/>
      <c r="B223" s="8"/>
      <c r="C223" s="7"/>
      <c r="D223" s="8"/>
      <c r="E223" s="8"/>
      <c r="F223" s="8"/>
      <c r="G223" s="7"/>
      <c r="H223" s="7"/>
      <c r="I223" s="7"/>
      <c r="J223" s="7"/>
      <c r="K223" s="7"/>
      <c r="L223" s="7"/>
      <c r="M223" s="7"/>
      <c r="N223" s="7"/>
      <c r="O223" s="7"/>
      <c r="P223" s="7"/>
      <c r="Q223" s="7"/>
      <c r="R223" s="7"/>
      <c r="S223" s="7"/>
      <c r="T223" s="7"/>
      <c r="U223" s="7"/>
      <c r="V223" s="57"/>
      <c r="W223" s="10"/>
    </row>
    <row r="224" s="6" customFormat="1" spans="1:23">
      <c r="A224" s="7"/>
      <c r="B224" s="8"/>
      <c r="C224" s="7"/>
      <c r="D224" s="8"/>
      <c r="E224" s="8"/>
      <c r="F224" s="8"/>
      <c r="G224" s="7"/>
      <c r="H224" s="7"/>
      <c r="I224" s="7"/>
      <c r="J224" s="7"/>
      <c r="K224" s="7"/>
      <c r="L224" s="7"/>
      <c r="M224" s="7"/>
      <c r="N224" s="7"/>
      <c r="O224" s="7"/>
      <c r="P224" s="7"/>
      <c r="Q224" s="7"/>
      <c r="R224" s="7"/>
      <c r="S224" s="7"/>
      <c r="T224" s="7"/>
      <c r="U224" s="7"/>
      <c r="V224" s="57"/>
      <c r="W224" s="10"/>
    </row>
    <row r="225" s="6" customFormat="1" spans="1:23">
      <c r="A225" s="7"/>
      <c r="B225" s="8"/>
      <c r="C225" s="7"/>
      <c r="D225" s="8"/>
      <c r="E225" s="8"/>
      <c r="F225" s="8"/>
      <c r="G225" s="7"/>
      <c r="H225" s="7"/>
      <c r="I225" s="7"/>
      <c r="J225" s="7"/>
      <c r="K225" s="7"/>
      <c r="L225" s="7"/>
      <c r="M225" s="7"/>
      <c r="N225" s="7"/>
      <c r="O225" s="7"/>
      <c r="P225" s="7"/>
      <c r="Q225" s="7"/>
      <c r="R225" s="7"/>
      <c r="S225" s="7"/>
      <c r="T225" s="7"/>
      <c r="U225" s="7"/>
      <c r="V225" s="57"/>
      <c r="W225" s="10"/>
    </row>
    <row r="226" s="6" customFormat="1" spans="1:23">
      <c r="A226" s="7"/>
      <c r="B226" s="8"/>
      <c r="C226" s="7"/>
      <c r="D226" s="8"/>
      <c r="E226" s="8"/>
      <c r="F226" s="8"/>
      <c r="G226" s="7"/>
      <c r="H226" s="7"/>
      <c r="I226" s="7"/>
      <c r="J226" s="7"/>
      <c r="K226" s="7"/>
      <c r="L226" s="7"/>
      <c r="M226" s="7"/>
      <c r="N226" s="7"/>
      <c r="O226" s="7"/>
      <c r="P226" s="7"/>
      <c r="Q226" s="7"/>
      <c r="R226" s="7"/>
      <c r="S226" s="7"/>
      <c r="T226" s="7"/>
      <c r="U226" s="7"/>
      <c r="V226" s="57"/>
      <c r="W226" s="10"/>
    </row>
    <row r="227" s="6" customFormat="1" spans="1:23">
      <c r="A227" s="7"/>
      <c r="B227" s="8"/>
      <c r="C227" s="7"/>
      <c r="D227" s="8"/>
      <c r="E227" s="8"/>
      <c r="F227" s="8"/>
      <c r="G227" s="7"/>
      <c r="H227" s="7"/>
      <c r="I227" s="7"/>
      <c r="J227" s="7"/>
      <c r="K227" s="7"/>
      <c r="L227" s="7"/>
      <c r="M227" s="7"/>
      <c r="N227" s="7"/>
      <c r="O227" s="7"/>
      <c r="P227" s="7"/>
      <c r="Q227" s="7"/>
      <c r="R227" s="7"/>
      <c r="S227" s="7"/>
      <c r="T227" s="7"/>
      <c r="U227" s="7"/>
      <c r="V227" s="57"/>
      <c r="W227" s="10"/>
    </row>
    <row r="228" s="6" customFormat="1" spans="1:23">
      <c r="A228" s="7"/>
      <c r="B228" s="8"/>
      <c r="C228" s="7"/>
      <c r="D228" s="8"/>
      <c r="E228" s="8"/>
      <c r="F228" s="8"/>
      <c r="G228" s="7"/>
      <c r="H228" s="7"/>
      <c r="I228" s="7"/>
      <c r="J228" s="7"/>
      <c r="K228" s="7"/>
      <c r="L228" s="7"/>
      <c r="M228" s="7"/>
      <c r="N228" s="7"/>
      <c r="O228" s="7"/>
      <c r="P228" s="7"/>
      <c r="Q228" s="7"/>
      <c r="R228" s="7"/>
      <c r="S228" s="7"/>
      <c r="T228" s="7"/>
      <c r="U228" s="7"/>
      <c r="V228" s="57"/>
      <c r="W228" s="10"/>
    </row>
    <row r="229" s="6" customFormat="1" spans="1:23">
      <c r="A229" s="7"/>
      <c r="B229" s="8"/>
      <c r="C229" s="7"/>
      <c r="D229" s="8"/>
      <c r="E229" s="8"/>
      <c r="F229" s="8"/>
      <c r="G229" s="7"/>
      <c r="H229" s="7"/>
      <c r="I229" s="7"/>
      <c r="J229" s="7"/>
      <c r="K229" s="7"/>
      <c r="L229" s="7"/>
      <c r="M229" s="7"/>
      <c r="N229" s="7"/>
      <c r="O229" s="7"/>
      <c r="P229" s="7"/>
      <c r="Q229" s="7"/>
      <c r="R229" s="7"/>
      <c r="S229" s="7"/>
      <c r="T229" s="7"/>
      <c r="U229" s="7"/>
      <c r="V229" s="57"/>
      <c r="W229" s="10"/>
    </row>
    <row r="230" s="6" customFormat="1" spans="1:23">
      <c r="A230" s="7"/>
      <c r="B230" s="8"/>
      <c r="C230" s="7"/>
      <c r="D230" s="8"/>
      <c r="E230" s="8"/>
      <c r="F230" s="8"/>
      <c r="G230" s="7"/>
      <c r="H230" s="7"/>
      <c r="I230" s="7"/>
      <c r="J230" s="7"/>
      <c r="K230" s="7"/>
      <c r="L230" s="7"/>
      <c r="M230" s="7"/>
      <c r="N230" s="7"/>
      <c r="O230" s="7"/>
      <c r="P230" s="7"/>
      <c r="Q230" s="7"/>
      <c r="R230" s="7"/>
      <c r="S230" s="7"/>
      <c r="T230" s="7"/>
      <c r="U230" s="7"/>
      <c r="V230" s="57"/>
      <c r="W230" s="10"/>
    </row>
    <row r="231" s="6" customFormat="1" spans="1:23">
      <c r="A231" s="7"/>
      <c r="B231" s="8"/>
      <c r="C231" s="7"/>
      <c r="D231" s="8"/>
      <c r="E231" s="8"/>
      <c r="F231" s="8"/>
      <c r="G231" s="7"/>
      <c r="H231" s="7"/>
      <c r="I231" s="7"/>
      <c r="J231" s="7"/>
      <c r="K231" s="7"/>
      <c r="L231" s="7"/>
      <c r="M231" s="7"/>
      <c r="N231" s="7"/>
      <c r="O231" s="7"/>
      <c r="P231" s="7"/>
      <c r="Q231" s="7"/>
      <c r="R231" s="7"/>
      <c r="S231" s="7"/>
      <c r="T231" s="7"/>
      <c r="U231" s="7"/>
      <c r="V231" s="57"/>
      <c r="W231" s="10"/>
    </row>
    <row r="232" s="6" customFormat="1" spans="1:23">
      <c r="A232" s="7"/>
      <c r="B232" s="8"/>
      <c r="C232" s="7"/>
      <c r="D232" s="8"/>
      <c r="E232" s="8"/>
      <c r="F232" s="8"/>
      <c r="G232" s="7"/>
      <c r="H232" s="7"/>
      <c r="I232" s="7"/>
      <c r="J232" s="7"/>
      <c r="K232" s="7"/>
      <c r="L232" s="7"/>
      <c r="M232" s="7"/>
      <c r="N232" s="7"/>
      <c r="O232" s="7"/>
      <c r="P232" s="7"/>
      <c r="Q232" s="7"/>
      <c r="R232" s="7"/>
      <c r="S232" s="7"/>
      <c r="T232" s="7"/>
      <c r="U232" s="7"/>
      <c r="V232" s="57"/>
      <c r="W232" s="10"/>
    </row>
    <row r="233" s="6" customFormat="1" spans="1:23">
      <c r="A233" s="7"/>
      <c r="B233" s="8"/>
      <c r="C233" s="7"/>
      <c r="D233" s="8"/>
      <c r="E233" s="8"/>
      <c r="F233" s="8"/>
      <c r="G233" s="7"/>
      <c r="H233" s="7"/>
      <c r="I233" s="7"/>
      <c r="J233" s="7"/>
      <c r="K233" s="7"/>
      <c r="L233" s="7"/>
      <c r="M233" s="7"/>
      <c r="N233" s="7"/>
      <c r="O233" s="7"/>
      <c r="P233" s="7"/>
      <c r="Q233" s="7"/>
      <c r="R233" s="7"/>
      <c r="S233" s="7"/>
      <c r="T233" s="7"/>
      <c r="U233" s="7"/>
      <c r="V233" s="57"/>
      <c r="W233" s="10"/>
    </row>
    <row r="234" s="6" customFormat="1" spans="1:23">
      <c r="A234" s="7"/>
      <c r="B234" s="8"/>
      <c r="C234" s="7"/>
      <c r="D234" s="8"/>
      <c r="E234" s="8"/>
      <c r="F234" s="8"/>
      <c r="G234" s="7"/>
      <c r="H234" s="7"/>
      <c r="I234" s="7"/>
      <c r="J234" s="7"/>
      <c r="K234" s="7"/>
      <c r="L234" s="7"/>
      <c r="M234" s="7"/>
      <c r="N234" s="7"/>
      <c r="O234" s="7"/>
      <c r="P234" s="7"/>
      <c r="Q234" s="7"/>
      <c r="R234" s="7"/>
      <c r="S234" s="7"/>
      <c r="T234" s="7"/>
      <c r="U234" s="7"/>
      <c r="V234" s="57"/>
      <c r="W234" s="10"/>
    </row>
    <row r="235" s="6" customFormat="1" spans="1:23">
      <c r="A235" s="7"/>
      <c r="B235" s="8"/>
      <c r="C235" s="7"/>
      <c r="D235" s="8"/>
      <c r="E235" s="8"/>
      <c r="F235" s="8"/>
      <c r="G235" s="7"/>
      <c r="H235" s="7"/>
      <c r="I235" s="7"/>
      <c r="J235" s="7"/>
      <c r="K235" s="7"/>
      <c r="L235" s="7"/>
      <c r="M235" s="7"/>
      <c r="N235" s="7"/>
      <c r="O235" s="7"/>
      <c r="P235" s="7"/>
      <c r="Q235" s="7"/>
      <c r="R235" s="7"/>
      <c r="S235" s="7"/>
      <c r="T235" s="7"/>
      <c r="U235" s="7"/>
      <c r="V235" s="57"/>
      <c r="W235" s="10"/>
    </row>
    <row r="236" s="6" customFormat="1" spans="1:23">
      <c r="A236" s="7"/>
      <c r="B236" s="8"/>
      <c r="C236" s="7"/>
      <c r="D236" s="8"/>
      <c r="E236" s="8"/>
      <c r="F236" s="8"/>
      <c r="G236" s="7"/>
      <c r="H236" s="7"/>
      <c r="I236" s="7"/>
      <c r="J236" s="7"/>
      <c r="K236" s="7"/>
      <c r="L236" s="7"/>
      <c r="M236" s="7"/>
      <c r="N236" s="7"/>
      <c r="O236" s="7"/>
      <c r="P236" s="7"/>
      <c r="Q236" s="7"/>
      <c r="R236" s="7"/>
      <c r="S236" s="7"/>
      <c r="T236" s="7"/>
      <c r="U236" s="7"/>
      <c r="V236" s="57"/>
      <c r="W236" s="10"/>
    </row>
    <row r="237" s="6" customFormat="1" spans="1:23">
      <c r="A237" s="7"/>
      <c r="B237" s="8"/>
      <c r="C237" s="7"/>
      <c r="D237" s="8"/>
      <c r="E237" s="8"/>
      <c r="F237" s="8"/>
      <c r="G237" s="7"/>
      <c r="H237" s="7"/>
      <c r="I237" s="7"/>
      <c r="J237" s="7"/>
      <c r="K237" s="7"/>
      <c r="L237" s="7"/>
      <c r="M237" s="7"/>
      <c r="N237" s="7"/>
      <c r="O237" s="7"/>
      <c r="P237" s="7"/>
      <c r="Q237" s="7"/>
      <c r="R237" s="7"/>
      <c r="S237" s="7"/>
      <c r="T237" s="7"/>
      <c r="U237" s="7"/>
      <c r="V237" s="57"/>
      <c r="W237" s="10"/>
    </row>
    <row r="238" s="6" customFormat="1" spans="1:23">
      <c r="A238" s="7"/>
      <c r="B238" s="8"/>
      <c r="C238" s="7"/>
      <c r="D238" s="8"/>
      <c r="E238" s="8"/>
      <c r="F238" s="8"/>
      <c r="G238" s="7"/>
      <c r="H238" s="7"/>
      <c r="I238" s="7"/>
      <c r="J238" s="7"/>
      <c r="K238" s="7"/>
      <c r="L238" s="7"/>
      <c r="M238" s="7"/>
      <c r="N238" s="7"/>
      <c r="O238" s="7"/>
      <c r="P238" s="7"/>
      <c r="Q238" s="7"/>
      <c r="R238" s="7"/>
      <c r="S238" s="7"/>
      <c r="T238" s="7"/>
      <c r="U238" s="7"/>
      <c r="V238" s="57"/>
      <c r="W238" s="10"/>
    </row>
    <row r="239" s="6" customFormat="1" spans="1:23">
      <c r="A239" s="7"/>
      <c r="B239" s="8"/>
      <c r="C239" s="7"/>
      <c r="D239" s="8"/>
      <c r="E239" s="8"/>
      <c r="F239" s="8"/>
      <c r="G239" s="7"/>
      <c r="H239" s="7"/>
      <c r="I239" s="7"/>
      <c r="J239" s="7"/>
      <c r="K239" s="7"/>
      <c r="L239" s="7"/>
      <c r="M239" s="7"/>
      <c r="N239" s="7"/>
      <c r="O239" s="7"/>
      <c r="P239" s="7"/>
      <c r="Q239" s="7"/>
      <c r="R239" s="7"/>
      <c r="S239" s="7"/>
      <c r="T239" s="7"/>
      <c r="U239" s="7"/>
      <c r="V239" s="57"/>
      <c r="W239" s="10"/>
    </row>
    <row r="240" s="6" customFormat="1" spans="1:23">
      <c r="A240" s="7"/>
      <c r="B240" s="8"/>
      <c r="C240" s="7"/>
      <c r="D240" s="8"/>
      <c r="E240" s="8"/>
      <c r="F240" s="8"/>
      <c r="G240" s="7"/>
      <c r="H240" s="7"/>
      <c r="I240" s="7"/>
      <c r="J240" s="7"/>
      <c r="K240" s="7"/>
      <c r="L240" s="7"/>
      <c r="M240" s="7"/>
      <c r="N240" s="7"/>
      <c r="O240" s="7"/>
      <c r="P240" s="7"/>
      <c r="Q240" s="7"/>
      <c r="R240" s="7"/>
      <c r="S240" s="7"/>
      <c r="T240" s="7"/>
      <c r="U240" s="7"/>
      <c r="V240" s="57"/>
      <c r="W240" s="10"/>
    </row>
    <row r="241" s="6" customFormat="1" spans="1:23">
      <c r="A241" s="7"/>
      <c r="B241" s="8"/>
      <c r="C241" s="7"/>
      <c r="D241" s="8"/>
      <c r="E241" s="8"/>
      <c r="F241" s="8"/>
      <c r="G241" s="7"/>
      <c r="H241" s="7"/>
      <c r="I241" s="7"/>
      <c r="J241" s="7"/>
      <c r="K241" s="7"/>
      <c r="L241" s="7"/>
      <c r="M241" s="7"/>
      <c r="N241" s="7"/>
      <c r="O241" s="7"/>
      <c r="P241" s="7"/>
      <c r="Q241" s="7"/>
      <c r="R241" s="7"/>
      <c r="S241" s="7"/>
      <c r="T241" s="7"/>
      <c r="U241" s="7"/>
      <c r="V241" s="57"/>
      <c r="W241" s="10"/>
    </row>
    <row r="242" s="6" customFormat="1" spans="1:23">
      <c r="A242" s="7"/>
      <c r="B242" s="8"/>
      <c r="C242" s="7"/>
      <c r="D242" s="8"/>
      <c r="E242" s="8"/>
      <c r="F242" s="8"/>
      <c r="G242" s="7"/>
      <c r="H242" s="7"/>
      <c r="I242" s="7"/>
      <c r="J242" s="7"/>
      <c r="K242" s="7"/>
      <c r="L242" s="7"/>
      <c r="M242" s="7"/>
      <c r="N242" s="7"/>
      <c r="O242" s="7"/>
      <c r="P242" s="7"/>
      <c r="Q242" s="7"/>
      <c r="R242" s="7"/>
      <c r="S242" s="7"/>
      <c r="T242" s="7"/>
      <c r="U242" s="7"/>
      <c r="V242" s="57"/>
      <c r="W242" s="10"/>
    </row>
    <row r="243" s="6" customFormat="1" spans="1:23">
      <c r="A243" s="7"/>
      <c r="B243" s="8"/>
      <c r="C243" s="7"/>
      <c r="D243" s="8"/>
      <c r="E243" s="8"/>
      <c r="F243" s="8"/>
      <c r="G243" s="7"/>
      <c r="H243" s="7"/>
      <c r="I243" s="7"/>
      <c r="J243" s="7"/>
      <c r="K243" s="7"/>
      <c r="L243" s="7"/>
      <c r="M243" s="7"/>
      <c r="N243" s="7"/>
      <c r="O243" s="7"/>
      <c r="P243" s="7"/>
      <c r="Q243" s="7"/>
      <c r="R243" s="7"/>
      <c r="S243" s="7"/>
      <c r="T243" s="7"/>
      <c r="U243" s="7"/>
      <c r="V243" s="57"/>
      <c r="W243" s="10"/>
    </row>
    <row r="244" s="6" customFormat="1" spans="1:23">
      <c r="A244" s="7"/>
      <c r="B244" s="8"/>
      <c r="C244" s="7"/>
      <c r="D244" s="8"/>
      <c r="E244" s="8"/>
      <c r="F244" s="8"/>
      <c r="G244" s="7"/>
      <c r="H244" s="7"/>
      <c r="I244" s="7"/>
      <c r="J244" s="7"/>
      <c r="K244" s="7"/>
      <c r="L244" s="7"/>
      <c r="M244" s="7"/>
      <c r="N244" s="7"/>
      <c r="O244" s="7"/>
      <c r="P244" s="7"/>
      <c r="Q244" s="7"/>
      <c r="R244" s="7"/>
      <c r="S244" s="7"/>
      <c r="T244" s="7"/>
      <c r="U244" s="7"/>
      <c r="V244" s="57"/>
      <c r="W244" s="10"/>
    </row>
    <row r="245" s="6" customFormat="1" spans="1:23">
      <c r="A245" s="7"/>
      <c r="B245" s="8"/>
      <c r="C245" s="7"/>
      <c r="D245" s="8"/>
      <c r="E245" s="8"/>
      <c r="F245" s="8"/>
      <c r="G245" s="7"/>
      <c r="H245" s="7"/>
      <c r="I245" s="7"/>
      <c r="J245" s="7"/>
      <c r="K245" s="7"/>
      <c r="L245" s="7"/>
      <c r="M245" s="7"/>
      <c r="N245" s="7"/>
      <c r="O245" s="7"/>
      <c r="P245" s="7"/>
      <c r="Q245" s="7"/>
      <c r="R245" s="7"/>
      <c r="S245" s="7"/>
      <c r="T245" s="7"/>
      <c r="U245" s="7"/>
      <c r="V245" s="57"/>
      <c r="W245" s="10"/>
    </row>
    <row r="246" s="6" customFormat="1" spans="1:23">
      <c r="A246" s="7"/>
      <c r="B246" s="8"/>
      <c r="C246" s="7"/>
      <c r="D246" s="8"/>
      <c r="E246" s="8"/>
      <c r="F246" s="8"/>
      <c r="G246" s="7"/>
      <c r="H246" s="7"/>
      <c r="I246" s="7"/>
      <c r="J246" s="7"/>
      <c r="K246" s="7"/>
      <c r="L246" s="7"/>
      <c r="M246" s="7"/>
      <c r="N246" s="7"/>
      <c r="O246" s="7"/>
      <c r="P246" s="7"/>
      <c r="Q246" s="7"/>
      <c r="R246" s="7"/>
      <c r="S246" s="7"/>
      <c r="T246" s="7"/>
      <c r="U246" s="7"/>
      <c r="V246" s="57"/>
      <c r="W246" s="10"/>
    </row>
    <row r="247" s="6" customFormat="1" spans="1:23">
      <c r="A247" s="7"/>
      <c r="B247" s="8"/>
      <c r="C247" s="7"/>
      <c r="D247" s="8"/>
      <c r="E247" s="8"/>
      <c r="F247" s="8"/>
      <c r="G247" s="7"/>
      <c r="H247" s="7"/>
      <c r="I247" s="7"/>
      <c r="J247" s="7"/>
      <c r="K247" s="7"/>
      <c r="L247" s="7"/>
      <c r="M247" s="7"/>
      <c r="N247" s="7"/>
      <c r="O247" s="7"/>
      <c r="P247" s="7"/>
      <c r="Q247" s="7"/>
      <c r="R247" s="7"/>
      <c r="S247" s="7"/>
      <c r="T247" s="7"/>
      <c r="U247" s="7"/>
      <c r="V247" s="57"/>
      <c r="W247" s="10"/>
    </row>
    <row r="248" s="6" customFormat="1" spans="1:23">
      <c r="A248" s="7"/>
      <c r="B248" s="8"/>
      <c r="C248" s="7"/>
      <c r="D248" s="8"/>
      <c r="E248" s="8"/>
      <c r="F248" s="8"/>
      <c r="G248" s="7"/>
      <c r="H248" s="7"/>
      <c r="I248" s="7"/>
      <c r="J248" s="7"/>
      <c r="K248" s="7"/>
      <c r="L248" s="7"/>
      <c r="M248" s="7"/>
      <c r="N248" s="7"/>
      <c r="O248" s="7"/>
      <c r="P248" s="7"/>
      <c r="Q248" s="7"/>
      <c r="R248" s="7"/>
      <c r="S248" s="7"/>
      <c r="T248" s="7"/>
      <c r="U248" s="7"/>
      <c r="V248" s="57"/>
      <c r="W248" s="10"/>
    </row>
    <row r="249" s="6" customFormat="1" spans="1:23">
      <c r="A249" s="7"/>
      <c r="B249" s="8"/>
      <c r="C249" s="7"/>
      <c r="D249" s="8"/>
      <c r="E249" s="8"/>
      <c r="F249" s="8"/>
      <c r="G249" s="7"/>
      <c r="H249" s="7"/>
      <c r="I249" s="7"/>
      <c r="J249" s="7"/>
      <c r="K249" s="7"/>
      <c r="L249" s="7"/>
      <c r="M249" s="7"/>
      <c r="N249" s="7"/>
      <c r="O249" s="7"/>
      <c r="P249" s="7"/>
      <c r="Q249" s="7"/>
      <c r="R249" s="7"/>
      <c r="S249" s="7"/>
      <c r="T249" s="7"/>
      <c r="U249" s="7"/>
      <c r="V249" s="57"/>
      <c r="W249" s="10"/>
    </row>
    <row r="250" s="6" customFormat="1" spans="1:23">
      <c r="A250" s="7"/>
      <c r="B250" s="8"/>
      <c r="C250" s="7"/>
      <c r="D250" s="8"/>
      <c r="E250" s="8"/>
      <c r="F250" s="8"/>
      <c r="G250" s="7"/>
      <c r="H250" s="7"/>
      <c r="I250" s="7"/>
      <c r="J250" s="7"/>
      <c r="K250" s="7"/>
      <c r="L250" s="7"/>
      <c r="M250" s="7"/>
      <c r="N250" s="7"/>
      <c r="O250" s="7"/>
      <c r="P250" s="7"/>
      <c r="Q250" s="7"/>
      <c r="R250" s="7"/>
      <c r="S250" s="7"/>
      <c r="T250" s="7"/>
      <c r="U250" s="7"/>
      <c r="V250" s="57"/>
      <c r="W250" s="10"/>
    </row>
    <row r="251" s="6" customFormat="1" spans="1:23">
      <c r="A251" s="7"/>
      <c r="B251" s="8"/>
      <c r="C251" s="7"/>
      <c r="D251" s="8"/>
      <c r="E251" s="8"/>
      <c r="F251" s="8"/>
      <c r="G251" s="7"/>
      <c r="H251" s="7"/>
      <c r="I251" s="7"/>
      <c r="J251" s="7"/>
      <c r="K251" s="7"/>
      <c r="L251" s="7"/>
      <c r="M251" s="7"/>
      <c r="N251" s="7"/>
      <c r="O251" s="7"/>
      <c r="P251" s="7"/>
      <c r="Q251" s="7"/>
      <c r="R251" s="7"/>
      <c r="S251" s="7"/>
      <c r="T251" s="7"/>
      <c r="U251" s="7"/>
      <c r="V251" s="57"/>
      <c r="W251" s="10"/>
    </row>
    <row r="252" s="6" customFormat="1" spans="1:23">
      <c r="A252" s="7"/>
      <c r="B252" s="8"/>
      <c r="C252" s="7"/>
      <c r="D252" s="8"/>
      <c r="E252" s="8"/>
      <c r="F252" s="8"/>
      <c r="G252" s="7"/>
      <c r="H252" s="7"/>
      <c r="I252" s="7"/>
      <c r="J252" s="7"/>
      <c r="K252" s="7"/>
      <c r="L252" s="7"/>
      <c r="M252" s="7"/>
      <c r="N252" s="7"/>
      <c r="O252" s="7"/>
      <c r="P252" s="7"/>
      <c r="Q252" s="7"/>
      <c r="R252" s="7"/>
      <c r="S252" s="7"/>
      <c r="T252" s="7"/>
      <c r="U252" s="7"/>
      <c r="V252" s="57"/>
      <c r="W252" s="10"/>
    </row>
    <row r="253" s="6" customFormat="1" spans="1:23">
      <c r="A253" s="7"/>
      <c r="B253" s="8"/>
      <c r="C253" s="7"/>
      <c r="D253" s="8"/>
      <c r="E253" s="8"/>
      <c r="F253" s="8"/>
      <c r="G253" s="7"/>
      <c r="H253" s="7"/>
      <c r="I253" s="7"/>
      <c r="J253" s="7"/>
      <c r="K253" s="7"/>
      <c r="L253" s="7"/>
      <c r="M253" s="7"/>
      <c r="N253" s="7"/>
      <c r="O253" s="7"/>
      <c r="P253" s="7"/>
      <c r="Q253" s="7"/>
      <c r="R253" s="7"/>
      <c r="S253" s="7"/>
      <c r="T253" s="7"/>
      <c r="U253" s="7"/>
      <c r="V253" s="57"/>
      <c r="W253" s="10"/>
    </row>
    <row r="254" s="6" customFormat="1" spans="1:23">
      <c r="A254" s="7"/>
      <c r="B254" s="8"/>
      <c r="C254" s="7"/>
      <c r="D254" s="8"/>
      <c r="E254" s="8"/>
      <c r="F254" s="8"/>
      <c r="G254" s="7"/>
      <c r="H254" s="7"/>
      <c r="I254" s="7"/>
      <c r="J254" s="7"/>
      <c r="K254" s="7"/>
      <c r="L254" s="7"/>
      <c r="M254" s="7"/>
      <c r="N254" s="7"/>
      <c r="O254" s="7"/>
      <c r="P254" s="7"/>
      <c r="Q254" s="7"/>
      <c r="R254" s="7"/>
      <c r="S254" s="7"/>
      <c r="T254" s="7"/>
      <c r="U254" s="7"/>
      <c r="V254" s="57"/>
      <c r="W254" s="10"/>
    </row>
    <row r="255" s="6" customFormat="1" spans="1:23">
      <c r="A255" s="7"/>
      <c r="B255" s="8"/>
      <c r="C255" s="7"/>
      <c r="D255" s="8"/>
      <c r="E255" s="8"/>
      <c r="F255" s="8"/>
      <c r="G255" s="7"/>
      <c r="H255" s="7"/>
      <c r="I255" s="7"/>
      <c r="J255" s="7"/>
      <c r="K255" s="7"/>
      <c r="L255" s="7"/>
      <c r="M255" s="7"/>
      <c r="N255" s="7"/>
      <c r="O255" s="7"/>
      <c r="P255" s="7"/>
      <c r="Q255" s="7"/>
      <c r="R255" s="7"/>
      <c r="S255" s="7"/>
      <c r="T255" s="7"/>
      <c r="U255" s="7"/>
      <c r="V255" s="57"/>
      <c r="W255" s="10"/>
    </row>
    <row r="256" s="6" customFormat="1" spans="1:23">
      <c r="A256" s="7"/>
      <c r="B256" s="8"/>
      <c r="C256" s="7"/>
      <c r="D256" s="8"/>
      <c r="E256" s="8"/>
      <c r="F256" s="8"/>
      <c r="G256" s="7"/>
      <c r="H256" s="7"/>
      <c r="I256" s="7"/>
      <c r="J256" s="7"/>
      <c r="K256" s="7"/>
      <c r="L256" s="7"/>
      <c r="M256" s="7"/>
      <c r="N256" s="7"/>
      <c r="O256" s="7"/>
      <c r="P256" s="7"/>
      <c r="Q256" s="7"/>
      <c r="R256" s="7"/>
      <c r="S256" s="7"/>
      <c r="T256" s="7"/>
      <c r="U256" s="7"/>
      <c r="V256" s="57"/>
      <c r="W256" s="10"/>
    </row>
    <row r="257" s="6" customFormat="1" spans="1:23">
      <c r="A257" s="7"/>
      <c r="B257" s="8"/>
      <c r="C257" s="7"/>
      <c r="D257" s="8"/>
      <c r="E257" s="8"/>
      <c r="F257" s="8"/>
      <c r="G257" s="7"/>
      <c r="H257" s="7"/>
      <c r="I257" s="7"/>
      <c r="J257" s="7"/>
      <c r="K257" s="7"/>
      <c r="L257" s="7"/>
      <c r="M257" s="7"/>
      <c r="N257" s="7"/>
      <c r="O257" s="7"/>
      <c r="P257" s="7"/>
      <c r="Q257" s="7"/>
      <c r="R257" s="7"/>
      <c r="S257" s="7"/>
      <c r="T257" s="7"/>
      <c r="U257" s="7"/>
      <c r="V257" s="57"/>
      <c r="W257" s="10"/>
    </row>
    <row r="258" s="6" customFormat="1" spans="1:23">
      <c r="A258" s="7"/>
      <c r="B258" s="8"/>
      <c r="C258" s="7"/>
      <c r="D258" s="8"/>
      <c r="E258" s="8"/>
      <c r="F258" s="8"/>
      <c r="G258" s="7"/>
      <c r="H258" s="7"/>
      <c r="I258" s="7"/>
      <c r="J258" s="7"/>
      <c r="K258" s="7"/>
      <c r="L258" s="7"/>
      <c r="M258" s="7"/>
      <c r="N258" s="7"/>
      <c r="O258" s="7"/>
      <c r="P258" s="7"/>
      <c r="Q258" s="7"/>
      <c r="R258" s="7"/>
      <c r="S258" s="7"/>
      <c r="T258" s="7"/>
      <c r="U258" s="7"/>
      <c r="V258" s="57"/>
      <c r="W258" s="10"/>
    </row>
    <row r="259" s="6" customFormat="1" spans="1:23">
      <c r="A259" s="7"/>
      <c r="B259" s="8"/>
      <c r="C259" s="7"/>
      <c r="D259" s="8"/>
      <c r="E259" s="8"/>
      <c r="F259" s="8"/>
      <c r="G259" s="7"/>
      <c r="H259" s="7"/>
      <c r="I259" s="7"/>
      <c r="J259" s="7"/>
      <c r="K259" s="7"/>
      <c r="L259" s="7"/>
      <c r="M259" s="7"/>
      <c r="N259" s="7"/>
      <c r="O259" s="7"/>
      <c r="P259" s="7"/>
      <c r="Q259" s="7"/>
      <c r="R259" s="7"/>
      <c r="S259" s="7"/>
      <c r="T259" s="7"/>
      <c r="U259" s="7"/>
      <c r="V259" s="57"/>
      <c r="W259" s="10"/>
    </row>
    <row r="260" s="6" customFormat="1" spans="1:23">
      <c r="A260" s="7"/>
      <c r="B260" s="8"/>
      <c r="C260" s="7"/>
      <c r="D260" s="8"/>
      <c r="E260" s="8"/>
      <c r="F260" s="8"/>
      <c r="G260" s="7"/>
      <c r="H260" s="7"/>
      <c r="I260" s="7"/>
      <c r="J260" s="7"/>
      <c r="K260" s="7"/>
      <c r="L260" s="7"/>
      <c r="M260" s="7"/>
      <c r="N260" s="7"/>
      <c r="O260" s="7"/>
      <c r="P260" s="7"/>
      <c r="Q260" s="7"/>
      <c r="R260" s="7"/>
      <c r="S260" s="7"/>
      <c r="T260" s="7"/>
      <c r="U260" s="7"/>
      <c r="V260" s="57"/>
      <c r="W260" s="10"/>
    </row>
    <row r="261" s="6" customFormat="1" spans="1:23">
      <c r="A261" s="7"/>
      <c r="B261" s="8"/>
      <c r="C261" s="7"/>
      <c r="D261" s="8"/>
      <c r="E261" s="8"/>
      <c r="F261" s="8"/>
      <c r="G261" s="7"/>
      <c r="H261" s="7"/>
      <c r="I261" s="7"/>
      <c r="J261" s="7"/>
      <c r="K261" s="7"/>
      <c r="L261" s="7"/>
      <c r="M261" s="7"/>
      <c r="N261" s="7"/>
      <c r="O261" s="7"/>
      <c r="P261" s="7"/>
      <c r="Q261" s="7"/>
      <c r="R261" s="7"/>
      <c r="S261" s="7"/>
      <c r="T261" s="7"/>
      <c r="U261" s="7"/>
      <c r="V261" s="57"/>
      <c r="W261" s="10"/>
    </row>
    <row r="262" s="6" customFormat="1" spans="1:23">
      <c r="A262" s="7"/>
      <c r="B262" s="8"/>
      <c r="C262" s="7"/>
      <c r="D262" s="8"/>
      <c r="E262" s="8"/>
      <c r="F262" s="8"/>
      <c r="G262" s="7"/>
      <c r="H262" s="7"/>
      <c r="I262" s="7"/>
      <c r="J262" s="7"/>
      <c r="K262" s="7"/>
      <c r="L262" s="7"/>
      <c r="M262" s="7"/>
      <c r="N262" s="7"/>
      <c r="O262" s="7"/>
      <c r="P262" s="7"/>
      <c r="Q262" s="7"/>
      <c r="R262" s="7"/>
      <c r="S262" s="7"/>
      <c r="T262" s="7"/>
      <c r="U262" s="7"/>
      <c r="V262" s="57"/>
      <c r="W262" s="10"/>
    </row>
    <row r="263" s="6" customFormat="1" spans="1:23">
      <c r="A263" s="7"/>
      <c r="B263" s="8"/>
      <c r="C263" s="7"/>
      <c r="D263" s="8"/>
      <c r="E263" s="8"/>
      <c r="F263" s="8"/>
      <c r="G263" s="7"/>
      <c r="H263" s="7"/>
      <c r="I263" s="7"/>
      <c r="J263" s="7"/>
      <c r="K263" s="7"/>
      <c r="L263" s="7"/>
      <c r="M263" s="7"/>
      <c r="N263" s="7"/>
      <c r="O263" s="7"/>
      <c r="P263" s="7"/>
      <c r="Q263" s="7"/>
      <c r="R263" s="7"/>
      <c r="S263" s="7"/>
      <c r="T263" s="7"/>
      <c r="U263" s="7"/>
      <c r="V263" s="57"/>
      <c r="W263" s="10"/>
    </row>
    <row r="264" s="6" customFormat="1" spans="1:23">
      <c r="A264" s="7"/>
      <c r="B264" s="8"/>
      <c r="C264" s="7"/>
      <c r="D264" s="8"/>
      <c r="E264" s="8"/>
      <c r="F264" s="8"/>
      <c r="G264" s="7"/>
      <c r="H264" s="7"/>
      <c r="I264" s="7"/>
      <c r="J264" s="7"/>
      <c r="K264" s="7"/>
      <c r="L264" s="7"/>
      <c r="M264" s="7"/>
      <c r="N264" s="7"/>
      <c r="O264" s="7"/>
      <c r="P264" s="7"/>
      <c r="Q264" s="7"/>
      <c r="R264" s="7"/>
      <c r="S264" s="7"/>
      <c r="T264" s="7"/>
      <c r="U264" s="7"/>
      <c r="V264" s="57"/>
      <c r="W264" s="10"/>
    </row>
    <row r="265" s="6" customFormat="1" spans="1:23">
      <c r="A265" s="7"/>
      <c r="B265" s="8"/>
      <c r="C265" s="7"/>
      <c r="D265" s="8"/>
      <c r="E265" s="8"/>
      <c r="F265" s="8"/>
      <c r="G265" s="7"/>
      <c r="H265" s="7"/>
      <c r="I265" s="7"/>
      <c r="J265" s="7"/>
      <c r="K265" s="7"/>
      <c r="L265" s="7"/>
      <c r="M265" s="7"/>
      <c r="N265" s="7"/>
      <c r="O265" s="7"/>
      <c r="P265" s="7"/>
      <c r="Q265" s="7"/>
      <c r="R265" s="7"/>
      <c r="S265" s="7"/>
      <c r="T265" s="7"/>
      <c r="U265" s="7"/>
      <c r="V265" s="57"/>
      <c r="W265" s="10"/>
    </row>
    <row r="266" s="6" customFormat="1" spans="1:23">
      <c r="A266" s="7"/>
      <c r="B266" s="8"/>
      <c r="C266" s="7"/>
      <c r="D266" s="8"/>
      <c r="E266" s="8"/>
      <c r="F266" s="8"/>
      <c r="G266" s="7"/>
      <c r="H266" s="7"/>
      <c r="I266" s="7"/>
      <c r="J266" s="7"/>
      <c r="K266" s="7"/>
      <c r="L266" s="7"/>
      <c r="M266" s="7"/>
      <c r="N266" s="7"/>
      <c r="O266" s="7"/>
      <c r="P266" s="7"/>
      <c r="Q266" s="7"/>
      <c r="R266" s="7"/>
      <c r="S266" s="7"/>
      <c r="T266" s="7"/>
      <c r="U266" s="7"/>
      <c r="V266" s="57"/>
      <c r="W266" s="10"/>
    </row>
    <row r="267" s="6" customFormat="1" spans="1:23">
      <c r="A267" s="7"/>
      <c r="B267" s="8"/>
      <c r="C267" s="7"/>
      <c r="D267" s="8"/>
      <c r="E267" s="8"/>
      <c r="F267" s="8"/>
      <c r="G267" s="7"/>
      <c r="H267" s="7"/>
      <c r="I267" s="7"/>
      <c r="J267" s="7"/>
      <c r="K267" s="7"/>
      <c r="L267" s="7"/>
      <c r="M267" s="7"/>
      <c r="N267" s="7"/>
      <c r="O267" s="7"/>
      <c r="P267" s="7"/>
      <c r="Q267" s="7"/>
      <c r="R267" s="7"/>
      <c r="S267" s="7"/>
      <c r="T267" s="7"/>
      <c r="U267" s="7"/>
      <c r="V267" s="57"/>
      <c r="W267" s="10"/>
    </row>
    <row r="268" s="6" customFormat="1" spans="1:23">
      <c r="A268" s="7"/>
      <c r="B268" s="8"/>
      <c r="C268" s="7"/>
      <c r="D268" s="8"/>
      <c r="E268" s="8"/>
      <c r="F268" s="8"/>
      <c r="G268" s="7"/>
      <c r="H268" s="7"/>
      <c r="I268" s="7"/>
      <c r="J268" s="7"/>
      <c r="K268" s="7"/>
      <c r="L268" s="7"/>
      <c r="M268" s="7"/>
      <c r="N268" s="7"/>
      <c r="O268" s="7"/>
      <c r="P268" s="7"/>
      <c r="Q268" s="7"/>
      <c r="R268" s="7"/>
      <c r="S268" s="7"/>
      <c r="T268" s="7"/>
      <c r="U268" s="7"/>
      <c r="V268" s="57"/>
      <c r="W268" s="10"/>
    </row>
    <row r="269" s="6" customFormat="1" spans="1:23">
      <c r="A269" s="7"/>
      <c r="B269" s="8"/>
      <c r="C269" s="7"/>
      <c r="D269" s="8"/>
      <c r="E269" s="8"/>
      <c r="F269" s="8"/>
      <c r="G269" s="7"/>
      <c r="H269" s="7"/>
      <c r="I269" s="7"/>
      <c r="J269" s="7"/>
      <c r="K269" s="7"/>
      <c r="L269" s="7"/>
      <c r="M269" s="7"/>
      <c r="N269" s="7"/>
      <c r="O269" s="7"/>
      <c r="P269" s="7"/>
      <c r="Q269" s="7"/>
      <c r="R269" s="7"/>
      <c r="S269" s="7"/>
      <c r="T269" s="7"/>
      <c r="U269" s="7"/>
      <c r="V269" s="57"/>
      <c r="W269" s="10"/>
    </row>
    <row r="270" s="6" customFormat="1" spans="1:23">
      <c r="A270" s="7"/>
      <c r="B270" s="8"/>
      <c r="C270" s="7"/>
      <c r="D270" s="8"/>
      <c r="E270" s="8"/>
      <c r="F270" s="8"/>
      <c r="G270" s="7"/>
      <c r="H270" s="7"/>
      <c r="I270" s="7"/>
      <c r="J270" s="7"/>
      <c r="K270" s="7"/>
      <c r="L270" s="7"/>
      <c r="M270" s="7"/>
      <c r="N270" s="7"/>
      <c r="O270" s="7"/>
      <c r="P270" s="7"/>
      <c r="Q270" s="7"/>
      <c r="R270" s="7"/>
      <c r="S270" s="7"/>
      <c r="T270" s="7"/>
      <c r="U270" s="7"/>
      <c r="V270" s="57"/>
      <c r="W270" s="10"/>
    </row>
    <row r="271" s="6" customFormat="1" spans="1:23">
      <c r="A271" s="7"/>
      <c r="B271" s="8"/>
      <c r="C271" s="7"/>
      <c r="D271" s="8"/>
      <c r="E271" s="8"/>
      <c r="F271" s="8"/>
      <c r="G271" s="7"/>
      <c r="H271" s="7"/>
      <c r="I271" s="7"/>
      <c r="J271" s="7"/>
      <c r="K271" s="7"/>
      <c r="L271" s="7"/>
      <c r="M271" s="7"/>
      <c r="N271" s="7"/>
      <c r="O271" s="7"/>
      <c r="P271" s="7"/>
      <c r="Q271" s="7"/>
      <c r="R271" s="7"/>
      <c r="S271" s="7"/>
      <c r="T271" s="7"/>
      <c r="U271" s="7"/>
      <c r="V271" s="57"/>
      <c r="W271" s="10"/>
    </row>
    <row r="272" s="6" customFormat="1" spans="1:23">
      <c r="A272" s="7"/>
      <c r="B272" s="8"/>
      <c r="C272" s="7"/>
      <c r="D272" s="8"/>
      <c r="E272" s="8"/>
      <c r="F272" s="8"/>
      <c r="G272" s="7"/>
      <c r="H272" s="7"/>
      <c r="I272" s="7"/>
      <c r="J272" s="7"/>
      <c r="K272" s="7"/>
      <c r="L272" s="7"/>
      <c r="M272" s="7"/>
      <c r="N272" s="7"/>
      <c r="O272" s="7"/>
      <c r="P272" s="7"/>
      <c r="Q272" s="7"/>
      <c r="R272" s="7"/>
      <c r="S272" s="7"/>
      <c r="T272" s="7"/>
      <c r="U272" s="7"/>
      <c r="V272" s="57"/>
      <c r="W272" s="10"/>
    </row>
    <row r="273" s="6" customFormat="1" spans="1:23">
      <c r="A273" s="7"/>
      <c r="B273" s="8"/>
      <c r="C273" s="7"/>
      <c r="D273" s="8"/>
      <c r="E273" s="8"/>
      <c r="F273" s="8"/>
      <c r="G273" s="7"/>
      <c r="H273" s="7"/>
      <c r="I273" s="7"/>
      <c r="J273" s="7"/>
      <c r="K273" s="7"/>
      <c r="L273" s="7"/>
      <c r="M273" s="7"/>
      <c r="N273" s="7"/>
      <c r="O273" s="7"/>
      <c r="P273" s="7"/>
      <c r="Q273" s="7"/>
      <c r="R273" s="7"/>
      <c r="S273" s="7"/>
      <c r="T273" s="7"/>
      <c r="U273" s="7"/>
      <c r="V273" s="57"/>
      <c r="W273" s="10"/>
    </row>
    <row r="274" s="6" customFormat="1" spans="1:23">
      <c r="A274" s="7"/>
      <c r="B274" s="8"/>
      <c r="C274" s="7"/>
      <c r="D274" s="8"/>
      <c r="E274" s="8"/>
      <c r="F274" s="8"/>
      <c r="G274" s="7"/>
      <c r="H274" s="7"/>
      <c r="I274" s="7"/>
      <c r="J274" s="7"/>
      <c r="K274" s="7"/>
      <c r="L274" s="7"/>
      <c r="M274" s="7"/>
      <c r="N274" s="7"/>
      <c r="O274" s="7"/>
      <c r="P274" s="7"/>
      <c r="Q274" s="7"/>
      <c r="R274" s="7"/>
      <c r="S274" s="7"/>
      <c r="T274" s="7"/>
      <c r="U274" s="7"/>
      <c r="V274" s="57"/>
      <c r="W274" s="10"/>
    </row>
    <row r="275" s="6" customFormat="1" spans="1:23">
      <c r="A275" s="7"/>
      <c r="B275" s="8"/>
      <c r="C275" s="7"/>
      <c r="D275" s="8"/>
      <c r="E275" s="8"/>
      <c r="F275" s="8"/>
      <c r="G275" s="7"/>
      <c r="H275" s="7"/>
      <c r="I275" s="7"/>
      <c r="J275" s="7"/>
      <c r="K275" s="7"/>
      <c r="L275" s="7"/>
      <c r="M275" s="7"/>
      <c r="N275" s="7"/>
      <c r="O275" s="7"/>
      <c r="P275" s="7"/>
      <c r="Q275" s="7"/>
      <c r="R275" s="7"/>
      <c r="S275" s="7"/>
      <c r="T275" s="7"/>
      <c r="U275" s="7"/>
      <c r="V275" s="57"/>
      <c r="W275" s="10"/>
    </row>
    <row r="276" s="6" customFormat="1" spans="1:23">
      <c r="A276" s="7"/>
      <c r="B276" s="8"/>
      <c r="C276" s="7"/>
      <c r="D276" s="8"/>
      <c r="E276" s="8"/>
      <c r="F276" s="8"/>
      <c r="G276" s="7"/>
      <c r="H276" s="7"/>
      <c r="I276" s="7"/>
      <c r="J276" s="7"/>
      <c r="K276" s="7"/>
      <c r="L276" s="7"/>
      <c r="M276" s="7"/>
      <c r="N276" s="7"/>
      <c r="O276" s="7"/>
      <c r="P276" s="7"/>
      <c r="Q276" s="7"/>
      <c r="R276" s="7"/>
      <c r="S276" s="7"/>
      <c r="T276" s="7"/>
      <c r="U276" s="7"/>
      <c r="V276" s="57"/>
      <c r="W276" s="10"/>
    </row>
    <row r="277" s="6" customFormat="1" spans="1:23">
      <c r="A277" s="7"/>
      <c r="B277" s="8"/>
      <c r="C277" s="7"/>
      <c r="D277" s="8"/>
      <c r="E277" s="8"/>
      <c r="F277" s="8"/>
      <c r="G277" s="7"/>
      <c r="H277" s="7"/>
      <c r="I277" s="7"/>
      <c r="J277" s="7"/>
      <c r="K277" s="7"/>
      <c r="L277" s="7"/>
      <c r="M277" s="7"/>
      <c r="N277" s="7"/>
      <c r="O277" s="7"/>
      <c r="P277" s="7"/>
      <c r="Q277" s="7"/>
      <c r="R277" s="7"/>
      <c r="S277" s="7"/>
      <c r="T277" s="7"/>
      <c r="U277" s="7"/>
      <c r="V277" s="57"/>
      <c r="W277" s="10"/>
    </row>
    <row r="278" s="6" customFormat="1" spans="1:23">
      <c r="A278" s="7"/>
      <c r="B278" s="8"/>
      <c r="C278" s="7"/>
      <c r="D278" s="8"/>
      <c r="E278" s="8"/>
      <c r="F278" s="8"/>
      <c r="G278" s="7"/>
      <c r="H278" s="7"/>
      <c r="I278" s="7"/>
      <c r="J278" s="7"/>
      <c r="K278" s="7"/>
      <c r="L278" s="7"/>
      <c r="M278" s="7"/>
      <c r="N278" s="7"/>
      <c r="O278" s="7"/>
      <c r="P278" s="7"/>
      <c r="Q278" s="7"/>
      <c r="R278" s="7"/>
      <c r="S278" s="7"/>
      <c r="T278" s="7"/>
      <c r="U278" s="7"/>
      <c r="V278" s="57"/>
      <c r="W278" s="10"/>
    </row>
    <row r="279" s="6" customFormat="1" spans="1:23">
      <c r="A279" s="7"/>
      <c r="B279" s="8"/>
      <c r="C279" s="7"/>
      <c r="D279" s="8"/>
      <c r="E279" s="8"/>
      <c r="F279" s="8"/>
      <c r="G279" s="7"/>
      <c r="H279" s="7"/>
      <c r="I279" s="7"/>
      <c r="J279" s="7"/>
      <c r="K279" s="7"/>
      <c r="L279" s="7"/>
      <c r="M279" s="7"/>
      <c r="N279" s="7"/>
      <c r="O279" s="7"/>
      <c r="P279" s="7"/>
      <c r="Q279" s="7"/>
      <c r="R279" s="7"/>
      <c r="S279" s="7"/>
      <c r="T279" s="7"/>
      <c r="U279" s="7"/>
      <c r="V279" s="57"/>
      <c r="W279" s="10"/>
    </row>
    <row r="280" s="6" customFormat="1" spans="1:23">
      <c r="A280" s="7"/>
      <c r="B280" s="8"/>
      <c r="C280" s="7"/>
      <c r="D280" s="8"/>
      <c r="E280" s="8"/>
      <c r="F280" s="8"/>
      <c r="G280" s="7"/>
      <c r="H280" s="7"/>
      <c r="I280" s="7"/>
      <c r="J280" s="7"/>
      <c r="K280" s="7"/>
      <c r="L280" s="7"/>
      <c r="M280" s="7"/>
      <c r="N280" s="7"/>
      <c r="O280" s="7"/>
      <c r="P280" s="7"/>
      <c r="Q280" s="7"/>
      <c r="R280" s="7"/>
      <c r="S280" s="7"/>
      <c r="T280" s="7"/>
      <c r="U280" s="7"/>
      <c r="V280" s="57"/>
      <c r="W280" s="10"/>
    </row>
    <row r="281" s="6" customFormat="1" spans="1:23">
      <c r="A281" s="7"/>
      <c r="B281" s="8"/>
      <c r="C281" s="7"/>
      <c r="D281" s="8"/>
      <c r="E281" s="8"/>
      <c r="F281" s="8"/>
      <c r="G281" s="7"/>
      <c r="H281" s="7"/>
      <c r="I281" s="7"/>
      <c r="J281" s="7"/>
      <c r="K281" s="7"/>
      <c r="L281" s="7"/>
      <c r="M281" s="7"/>
      <c r="N281" s="7"/>
      <c r="O281" s="7"/>
      <c r="P281" s="7"/>
      <c r="Q281" s="7"/>
      <c r="R281" s="7"/>
      <c r="S281" s="7"/>
      <c r="T281" s="7"/>
      <c r="U281" s="7"/>
      <c r="V281" s="57"/>
      <c r="W281" s="10"/>
    </row>
    <row r="282" s="6" customFormat="1" spans="1:23">
      <c r="A282" s="7"/>
      <c r="B282" s="8"/>
      <c r="C282" s="7"/>
      <c r="D282" s="8"/>
      <c r="E282" s="8"/>
      <c r="F282" s="8"/>
      <c r="G282" s="7"/>
      <c r="H282" s="7"/>
      <c r="I282" s="7"/>
      <c r="J282" s="7"/>
      <c r="K282" s="7"/>
      <c r="L282" s="7"/>
      <c r="M282" s="7"/>
      <c r="N282" s="7"/>
      <c r="O282" s="7"/>
      <c r="P282" s="7"/>
      <c r="Q282" s="7"/>
      <c r="R282" s="7"/>
      <c r="S282" s="7"/>
      <c r="T282" s="7"/>
      <c r="U282" s="7"/>
      <c r="V282" s="57"/>
      <c r="W282" s="10"/>
    </row>
    <row r="283" s="6" customFormat="1" spans="1:23">
      <c r="A283" s="7"/>
      <c r="B283" s="8"/>
      <c r="C283" s="7"/>
      <c r="D283" s="8"/>
      <c r="E283" s="8"/>
      <c r="F283" s="8"/>
      <c r="G283" s="7"/>
      <c r="H283" s="7"/>
      <c r="I283" s="7"/>
      <c r="J283" s="7"/>
      <c r="K283" s="7"/>
      <c r="L283" s="7"/>
      <c r="M283" s="7"/>
      <c r="N283" s="7"/>
      <c r="O283" s="7"/>
      <c r="P283" s="7"/>
      <c r="Q283" s="7"/>
      <c r="R283" s="7"/>
      <c r="S283" s="7"/>
      <c r="T283" s="7"/>
      <c r="U283" s="7"/>
      <c r="V283" s="57"/>
      <c r="W283" s="10"/>
    </row>
    <row r="284" s="6" customFormat="1" spans="1:23">
      <c r="A284" s="7"/>
      <c r="B284" s="8"/>
      <c r="C284" s="7"/>
      <c r="D284" s="8"/>
      <c r="E284" s="8"/>
      <c r="F284" s="8"/>
      <c r="G284" s="7"/>
      <c r="H284" s="7"/>
      <c r="I284" s="7"/>
      <c r="J284" s="7"/>
      <c r="K284" s="7"/>
      <c r="L284" s="7"/>
      <c r="M284" s="7"/>
      <c r="N284" s="7"/>
      <c r="O284" s="7"/>
      <c r="P284" s="7"/>
      <c r="Q284" s="7"/>
      <c r="R284" s="7"/>
      <c r="S284" s="7"/>
      <c r="T284" s="7"/>
      <c r="U284" s="7"/>
      <c r="V284" s="57"/>
      <c r="W284" s="10"/>
    </row>
    <row r="285" s="6" customFormat="1" spans="1:23">
      <c r="A285" s="7"/>
      <c r="B285" s="8"/>
      <c r="C285" s="7"/>
      <c r="D285" s="8"/>
      <c r="E285" s="8"/>
      <c r="F285" s="8"/>
      <c r="G285" s="7"/>
      <c r="H285" s="7"/>
      <c r="I285" s="7"/>
      <c r="J285" s="7"/>
      <c r="K285" s="7"/>
      <c r="L285" s="7"/>
      <c r="M285" s="7"/>
      <c r="N285" s="7"/>
      <c r="O285" s="7"/>
      <c r="P285" s="7"/>
      <c r="Q285" s="7"/>
      <c r="R285" s="7"/>
      <c r="S285" s="7"/>
      <c r="T285" s="7"/>
      <c r="U285" s="7"/>
      <c r="V285" s="57"/>
      <c r="W285" s="10"/>
    </row>
    <row r="286" s="6" customFormat="1" spans="1:23">
      <c r="A286" s="7"/>
      <c r="B286" s="8"/>
      <c r="C286" s="7"/>
      <c r="D286" s="8"/>
      <c r="E286" s="8"/>
      <c r="F286" s="8"/>
      <c r="G286" s="7"/>
      <c r="H286" s="7"/>
      <c r="I286" s="7"/>
      <c r="J286" s="7"/>
      <c r="K286" s="7"/>
      <c r="L286" s="7"/>
      <c r="M286" s="7"/>
      <c r="N286" s="7"/>
      <c r="O286" s="7"/>
      <c r="P286" s="7"/>
      <c r="Q286" s="7"/>
      <c r="R286" s="7"/>
      <c r="S286" s="7"/>
      <c r="T286" s="7"/>
      <c r="U286" s="7"/>
      <c r="V286" s="57"/>
      <c r="W286" s="10"/>
    </row>
    <row r="287" s="6" customFormat="1" spans="1:23">
      <c r="A287" s="7"/>
      <c r="B287" s="8"/>
      <c r="C287" s="7"/>
      <c r="D287" s="8"/>
      <c r="E287" s="8"/>
      <c r="F287" s="8"/>
      <c r="G287" s="7"/>
      <c r="H287" s="7"/>
      <c r="I287" s="7"/>
      <c r="J287" s="7"/>
      <c r="K287" s="7"/>
      <c r="L287" s="7"/>
      <c r="M287" s="7"/>
      <c r="N287" s="7"/>
      <c r="O287" s="7"/>
      <c r="P287" s="7"/>
      <c r="Q287" s="7"/>
      <c r="R287" s="7"/>
      <c r="S287" s="7"/>
      <c r="T287" s="7"/>
      <c r="U287" s="7"/>
      <c r="V287" s="57"/>
      <c r="W287" s="10"/>
    </row>
    <row r="288" s="6" customFormat="1" spans="1:23">
      <c r="A288" s="7"/>
      <c r="B288" s="8"/>
      <c r="C288" s="7"/>
      <c r="D288" s="8"/>
      <c r="E288" s="8"/>
      <c r="F288" s="8"/>
      <c r="G288" s="7"/>
      <c r="H288" s="7"/>
      <c r="I288" s="7"/>
      <c r="J288" s="7"/>
      <c r="K288" s="7"/>
      <c r="L288" s="7"/>
      <c r="M288" s="7"/>
      <c r="N288" s="7"/>
      <c r="O288" s="7"/>
      <c r="P288" s="7"/>
      <c r="Q288" s="7"/>
      <c r="R288" s="7"/>
      <c r="S288" s="7"/>
      <c r="T288" s="7"/>
      <c r="U288" s="7"/>
      <c r="V288" s="57"/>
      <c r="W288" s="10"/>
    </row>
    <row r="289" s="6" customFormat="1" spans="1:23">
      <c r="A289" s="7"/>
      <c r="B289" s="8"/>
      <c r="C289" s="7"/>
      <c r="D289" s="8"/>
      <c r="E289" s="8"/>
      <c r="F289" s="8"/>
      <c r="G289" s="7"/>
      <c r="H289" s="7"/>
      <c r="I289" s="7"/>
      <c r="J289" s="7"/>
      <c r="K289" s="7"/>
      <c r="L289" s="7"/>
      <c r="M289" s="7"/>
      <c r="N289" s="7"/>
      <c r="O289" s="7"/>
      <c r="P289" s="7"/>
      <c r="Q289" s="7"/>
      <c r="R289" s="7"/>
      <c r="S289" s="7"/>
      <c r="T289" s="7"/>
      <c r="U289" s="7"/>
      <c r="V289" s="57"/>
      <c r="W289" s="10"/>
    </row>
    <row r="290" s="6" customFormat="1" spans="1:23">
      <c r="A290" s="7"/>
      <c r="B290" s="8"/>
      <c r="C290" s="7"/>
      <c r="D290" s="8"/>
      <c r="E290" s="8"/>
      <c r="F290" s="8"/>
      <c r="G290" s="7"/>
      <c r="H290" s="7"/>
      <c r="I290" s="7"/>
      <c r="J290" s="7"/>
      <c r="K290" s="7"/>
      <c r="L290" s="7"/>
      <c r="M290" s="7"/>
      <c r="N290" s="7"/>
      <c r="O290" s="7"/>
      <c r="P290" s="7"/>
      <c r="Q290" s="7"/>
      <c r="R290" s="7"/>
      <c r="S290" s="7"/>
      <c r="T290" s="7"/>
      <c r="U290" s="7"/>
      <c r="V290" s="57"/>
      <c r="W290" s="10"/>
    </row>
    <row r="291" s="6" customFormat="1" spans="1:23">
      <c r="A291" s="7"/>
      <c r="B291" s="8"/>
      <c r="C291" s="7"/>
      <c r="D291" s="8"/>
      <c r="E291" s="8"/>
      <c r="F291" s="8"/>
      <c r="G291" s="7"/>
      <c r="H291" s="7"/>
      <c r="I291" s="7"/>
      <c r="J291" s="7"/>
      <c r="K291" s="7"/>
      <c r="L291" s="7"/>
      <c r="M291" s="7"/>
      <c r="N291" s="7"/>
      <c r="O291" s="7"/>
      <c r="P291" s="7"/>
      <c r="Q291" s="7"/>
      <c r="R291" s="7"/>
      <c r="S291" s="7"/>
      <c r="T291" s="7"/>
      <c r="U291" s="7"/>
      <c r="V291" s="57"/>
      <c r="W291" s="10"/>
    </row>
    <row r="292" s="6" customFormat="1" spans="1:23">
      <c r="A292" s="7"/>
      <c r="B292" s="8"/>
      <c r="C292" s="7"/>
      <c r="D292" s="8"/>
      <c r="E292" s="8"/>
      <c r="F292" s="8"/>
      <c r="G292" s="7"/>
      <c r="H292" s="7"/>
      <c r="I292" s="7"/>
      <c r="J292" s="7"/>
      <c r="K292" s="7"/>
      <c r="L292" s="7"/>
      <c r="M292" s="7"/>
      <c r="N292" s="7"/>
      <c r="O292" s="7"/>
      <c r="P292" s="7"/>
      <c r="Q292" s="7"/>
      <c r="R292" s="7"/>
      <c r="S292" s="7"/>
      <c r="T292" s="7"/>
      <c r="U292" s="7"/>
      <c r="V292" s="57"/>
      <c r="W292" s="10"/>
    </row>
    <row r="293" s="6" customFormat="1" spans="1:23">
      <c r="A293" s="7"/>
      <c r="B293" s="8"/>
      <c r="C293" s="7"/>
      <c r="D293" s="8"/>
      <c r="E293" s="8"/>
      <c r="F293" s="8"/>
      <c r="G293" s="7"/>
      <c r="H293" s="7"/>
      <c r="I293" s="7"/>
      <c r="J293" s="7"/>
      <c r="K293" s="7"/>
      <c r="L293" s="7"/>
      <c r="M293" s="7"/>
      <c r="N293" s="7"/>
      <c r="O293" s="7"/>
      <c r="P293" s="7"/>
      <c r="Q293" s="7"/>
      <c r="R293" s="7"/>
      <c r="S293" s="7"/>
      <c r="T293" s="7"/>
      <c r="U293" s="7"/>
      <c r="V293" s="57"/>
      <c r="W293" s="10"/>
    </row>
    <row r="294" s="6" customFormat="1" spans="1:23">
      <c r="A294" s="7"/>
      <c r="B294" s="8"/>
      <c r="C294" s="7"/>
      <c r="D294" s="8"/>
      <c r="E294" s="8"/>
      <c r="F294" s="8"/>
      <c r="G294" s="7"/>
      <c r="H294" s="7"/>
      <c r="I294" s="7"/>
      <c r="J294" s="7"/>
      <c r="K294" s="7"/>
      <c r="L294" s="7"/>
      <c r="M294" s="7"/>
      <c r="N294" s="7"/>
      <c r="O294" s="7"/>
      <c r="P294" s="7"/>
      <c r="Q294" s="7"/>
      <c r="R294" s="7"/>
      <c r="S294" s="7"/>
      <c r="T294" s="7"/>
      <c r="U294" s="7"/>
      <c r="V294" s="57"/>
      <c r="W294" s="10"/>
    </row>
    <row r="295" s="6" customFormat="1" spans="1:23">
      <c r="A295" s="7"/>
      <c r="B295" s="8"/>
      <c r="C295" s="7"/>
      <c r="D295" s="8"/>
      <c r="E295" s="8"/>
      <c r="F295" s="8"/>
      <c r="G295" s="7"/>
      <c r="H295" s="7"/>
      <c r="I295" s="7"/>
      <c r="J295" s="7"/>
      <c r="K295" s="7"/>
      <c r="L295" s="7"/>
      <c r="M295" s="7"/>
      <c r="N295" s="7"/>
      <c r="O295" s="7"/>
      <c r="P295" s="7"/>
      <c r="Q295" s="7"/>
      <c r="R295" s="7"/>
      <c r="S295" s="7"/>
      <c r="T295" s="7"/>
      <c r="U295" s="7"/>
      <c r="V295" s="57"/>
      <c r="W295" s="10"/>
    </row>
    <row r="296" s="6" customFormat="1" spans="1:23">
      <c r="A296" s="7"/>
      <c r="B296" s="8"/>
      <c r="C296" s="7"/>
      <c r="D296" s="8"/>
      <c r="E296" s="8"/>
      <c r="F296" s="8"/>
      <c r="G296" s="7"/>
      <c r="H296" s="7"/>
      <c r="I296" s="7"/>
      <c r="J296" s="7"/>
      <c r="K296" s="7"/>
      <c r="L296" s="7"/>
      <c r="M296" s="7"/>
      <c r="N296" s="7"/>
      <c r="O296" s="7"/>
      <c r="P296" s="7"/>
      <c r="Q296" s="7"/>
      <c r="R296" s="7"/>
      <c r="S296" s="7"/>
      <c r="T296" s="7"/>
      <c r="U296" s="7"/>
      <c r="V296" s="57"/>
      <c r="W296" s="10"/>
    </row>
    <row r="297" s="6" customFormat="1" spans="1:23">
      <c r="A297" s="7"/>
      <c r="B297" s="8"/>
      <c r="C297" s="7"/>
      <c r="D297" s="8"/>
      <c r="E297" s="8"/>
      <c r="F297" s="8"/>
      <c r="G297" s="7"/>
      <c r="H297" s="7"/>
      <c r="I297" s="7"/>
      <c r="J297" s="7"/>
      <c r="K297" s="7"/>
      <c r="L297" s="7"/>
      <c r="M297" s="7"/>
      <c r="N297" s="7"/>
      <c r="O297" s="7"/>
      <c r="P297" s="7"/>
      <c r="Q297" s="7"/>
      <c r="R297" s="7"/>
      <c r="S297" s="7"/>
      <c r="T297" s="7"/>
      <c r="U297" s="7"/>
      <c r="V297" s="57"/>
      <c r="W297" s="10"/>
    </row>
    <row r="298" s="6" customFormat="1" spans="1:23">
      <c r="A298" s="7"/>
      <c r="B298" s="8"/>
      <c r="C298" s="7"/>
      <c r="D298" s="8"/>
      <c r="E298" s="8"/>
      <c r="F298" s="8"/>
      <c r="G298" s="7"/>
      <c r="H298" s="7"/>
      <c r="I298" s="7"/>
      <c r="J298" s="7"/>
      <c r="K298" s="7"/>
      <c r="L298" s="7"/>
      <c r="M298" s="7"/>
      <c r="N298" s="7"/>
      <c r="O298" s="7"/>
      <c r="P298" s="7"/>
      <c r="Q298" s="7"/>
      <c r="R298" s="7"/>
      <c r="S298" s="7"/>
      <c r="T298" s="7"/>
      <c r="U298" s="7"/>
      <c r="V298" s="57"/>
      <c r="W298" s="10"/>
    </row>
    <row r="299" s="6" customFormat="1" spans="1:23">
      <c r="A299" s="7"/>
      <c r="B299" s="8"/>
      <c r="C299" s="7"/>
      <c r="D299" s="8"/>
      <c r="E299" s="8"/>
      <c r="F299" s="8"/>
      <c r="G299" s="7"/>
      <c r="H299" s="7"/>
      <c r="I299" s="7"/>
      <c r="J299" s="7"/>
      <c r="K299" s="7"/>
      <c r="L299" s="7"/>
      <c r="M299" s="7"/>
      <c r="N299" s="7"/>
      <c r="O299" s="7"/>
      <c r="P299" s="7"/>
      <c r="Q299" s="7"/>
      <c r="R299" s="7"/>
      <c r="S299" s="7"/>
      <c r="T299" s="7"/>
      <c r="U299" s="7"/>
      <c r="V299" s="57"/>
      <c r="W299" s="10"/>
    </row>
    <row r="300" s="6" customFormat="1" spans="1:23">
      <c r="A300" s="7"/>
      <c r="B300" s="8"/>
      <c r="C300" s="7"/>
      <c r="D300" s="8"/>
      <c r="E300" s="8"/>
      <c r="F300" s="8"/>
      <c r="G300" s="7"/>
      <c r="H300" s="7"/>
      <c r="I300" s="7"/>
      <c r="J300" s="7"/>
      <c r="K300" s="7"/>
      <c r="L300" s="7"/>
      <c r="M300" s="7"/>
      <c r="N300" s="7"/>
      <c r="O300" s="7"/>
      <c r="P300" s="7"/>
      <c r="Q300" s="7"/>
      <c r="R300" s="7"/>
      <c r="S300" s="7"/>
      <c r="T300" s="7"/>
      <c r="U300" s="7"/>
      <c r="V300" s="57"/>
      <c r="W300" s="10"/>
    </row>
    <row r="301" s="6" customFormat="1" spans="1:23">
      <c r="A301" s="7"/>
      <c r="B301" s="8"/>
      <c r="C301" s="7"/>
      <c r="D301" s="8"/>
      <c r="E301" s="8"/>
      <c r="F301" s="8"/>
      <c r="G301" s="7"/>
      <c r="H301" s="7"/>
      <c r="I301" s="7"/>
      <c r="J301" s="7"/>
      <c r="K301" s="7"/>
      <c r="L301" s="7"/>
      <c r="M301" s="7"/>
      <c r="N301" s="7"/>
      <c r="O301" s="7"/>
      <c r="P301" s="7"/>
      <c r="Q301" s="7"/>
      <c r="R301" s="7"/>
      <c r="S301" s="7"/>
      <c r="T301" s="7"/>
      <c r="U301" s="7"/>
      <c r="V301" s="57"/>
      <c r="W301" s="10"/>
    </row>
    <row r="302" s="6" customFormat="1" spans="1:23">
      <c r="A302" s="7"/>
      <c r="B302" s="8"/>
      <c r="C302" s="7"/>
      <c r="D302" s="8"/>
      <c r="E302" s="8"/>
      <c r="F302" s="8"/>
      <c r="G302" s="7"/>
      <c r="H302" s="7"/>
      <c r="I302" s="7"/>
      <c r="J302" s="7"/>
      <c r="K302" s="7"/>
      <c r="L302" s="7"/>
      <c r="M302" s="7"/>
      <c r="N302" s="7"/>
      <c r="O302" s="7"/>
      <c r="P302" s="7"/>
      <c r="Q302" s="7"/>
      <c r="R302" s="7"/>
      <c r="S302" s="7"/>
      <c r="T302" s="7"/>
      <c r="U302" s="7"/>
      <c r="V302" s="57"/>
      <c r="W302" s="10"/>
    </row>
    <row r="303" s="6" customFormat="1" spans="1:23">
      <c r="A303" s="7"/>
      <c r="B303" s="8"/>
      <c r="C303" s="7"/>
      <c r="D303" s="8"/>
      <c r="E303" s="8"/>
      <c r="F303" s="8"/>
      <c r="G303" s="7"/>
      <c r="H303" s="7"/>
      <c r="I303" s="7"/>
      <c r="J303" s="7"/>
      <c r="K303" s="7"/>
      <c r="L303" s="7"/>
      <c r="M303" s="7"/>
      <c r="N303" s="7"/>
      <c r="O303" s="7"/>
      <c r="P303" s="7"/>
      <c r="Q303" s="7"/>
      <c r="R303" s="7"/>
      <c r="S303" s="7"/>
      <c r="T303" s="7"/>
      <c r="U303" s="7"/>
      <c r="V303" s="57"/>
      <c r="W303" s="10"/>
    </row>
    <row r="304" s="6" customFormat="1" spans="1:23">
      <c r="A304" s="7"/>
      <c r="B304" s="8"/>
      <c r="C304" s="7"/>
      <c r="D304" s="8"/>
      <c r="E304" s="8"/>
      <c r="F304" s="8"/>
      <c r="G304" s="7"/>
      <c r="H304" s="7"/>
      <c r="I304" s="7"/>
      <c r="J304" s="7"/>
      <c r="K304" s="7"/>
      <c r="L304" s="7"/>
      <c r="M304" s="7"/>
      <c r="N304" s="7"/>
      <c r="O304" s="7"/>
      <c r="P304" s="7"/>
      <c r="Q304" s="7"/>
      <c r="R304" s="7"/>
      <c r="S304" s="7"/>
      <c r="T304" s="7"/>
      <c r="U304" s="7"/>
      <c r="V304" s="57"/>
      <c r="W304" s="10"/>
    </row>
    <row r="305" spans="22:22">
      <c r="V305" s="57"/>
    </row>
  </sheetData>
  <sheetProtection formatCells="0" formatColumns="0" formatRows="0" insertRows="0" insertColumns="0" insertHyperlinks="0" deleteColumns="0" deleteRows="0" sort="0" autoFilter="0" pivotTables="0"/>
  <autoFilter ref="A1:V304">
    <extLst/>
  </autoFilter>
  <sortState ref="A76:AA83">
    <sortCondition ref="C76:C83"/>
    <sortCondition ref="E76:E83"/>
  </sortState>
  <mergeCells count="15">
    <mergeCell ref="A1:V1"/>
    <mergeCell ref="G3:J3"/>
    <mergeCell ref="M3:P3"/>
    <mergeCell ref="Q3:S3"/>
    <mergeCell ref="A3:A4"/>
    <mergeCell ref="B3:B4"/>
    <mergeCell ref="C3:C4"/>
    <mergeCell ref="D3:D4"/>
    <mergeCell ref="E3:E4"/>
    <mergeCell ref="F3:F4"/>
    <mergeCell ref="K3:K4"/>
    <mergeCell ref="L3:L4"/>
    <mergeCell ref="T3:T4"/>
    <mergeCell ref="U3:U4"/>
    <mergeCell ref="V3:V4"/>
  </mergeCells>
  <printOptions horizontalCentered="1"/>
  <pageMargins left="0.393055555555556" right="0.393055555555556" top="0.590277777777778" bottom="0.393055555555556" header="0.393055555555556" footer="0.196527777777778"/>
  <pageSetup paperSize="9" scale="59" fitToHeight="0" orientation="landscape" horizontalDpi="300" verticalDpi="300"/>
  <headerFooter alignWithMargins="0" scaleWithDoc="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6A0048C-2381-489B-AA07-9611017176EA}">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20</vt:i4>
      </vt:variant>
    </vt:vector>
  </HeadingPairs>
  <TitlesOfParts>
    <vt:vector size="20" baseType="lpstr">
      <vt:lpstr>01收入调整</vt:lpstr>
      <vt:lpstr>02支出调整（功能分类 ）</vt:lpstr>
      <vt:lpstr>02-1功能项级分类（开）</vt:lpstr>
      <vt:lpstr>02-2功能项级分类（铁）</vt:lpstr>
      <vt:lpstr>03收支平衡</vt:lpstr>
      <vt:lpstr>03-2结算转移支付（截至9月末）</vt:lpstr>
      <vt:lpstr>03-1固定转移支付</vt:lpstr>
      <vt:lpstr>04支出变动（功能分类)</vt:lpstr>
      <vt:lpstr>05支出变动（项目明细）</vt:lpstr>
      <vt:lpstr>06政府性基金</vt:lpstr>
      <vt:lpstr>07国有资本经营</vt:lpstr>
      <vt:lpstr>08债务限额及余额</vt:lpstr>
      <vt:lpstr>09债券资金明细</vt:lpstr>
      <vt:lpstr>10新增债券项目安排</vt:lpstr>
      <vt:lpstr>分单位-开</vt:lpstr>
      <vt:lpstr>分单位-铁</vt:lpstr>
      <vt:lpstr>基本支出总表（开）</vt:lpstr>
      <vt:lpstr>基本支出总表（铁）</vt:lpstr>
      <vt:lpstr>项目支出总表（开）</vt:lpstr>
      <vt:lpstr>项目支出总表（铁）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内网</dc:creator>
  <cp:lastModifiedBy>纪璟琳</cp:lastModifiedBy>
  <dcterms:created xsi:type="dcterms:W3CDTF">2021-08-29T02:11:00Z</dcterms:created>
  <dcterms:modified xsi:type="dcterms:W3CDTF">2024-04-22T08:59:37Z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2052-12.1.0.16417</vt:lpwstr>
  </property>
  <property fmtid="{D5CDD505-2E9C-101B-9397-08002B2CF9AE}" pid="3" name="ICV">
    <vt:lpwstr>75C08A02CCDE48F4A2A251A588602644</vt:lpwstr>
  </property>
</Properties>
</file>